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2" yWindow="180" windowWidth="6240" windowHeight="5988" tabRatio="847"/>
  </bookViews>
  <sheets>
    <sheet name="Uses" sheetId="2" r:id="rId1"/>
    <sheet name="Rental Sources" sheetId="3" r:id="rId2"/>
    <sheet name="HO Sources" sheetId="5" state="hidden" r:id="rId3"/>
    <sheet name="HO Affordability" sheetId="7" state="hidden" r:id="rId4"/>
    <sheet name="Ownership Sources" sheetId="14" r:id="rId5"/>
  </sheets>
  <externalReferences>
    <externalReference r:id="rId6"/>
  </externalReferences>
  <definedNames>
    <definedName name="_xlnm.Print_Area" localSheetId="3">'HO Affordability'!$B$1:$H$81</definedName>
    <definedName name="_xlnm.Print_Area" localSheetId="2">'HO Sources'!$A$1:$J$48</definedName>
    <definedName name="_xlnm.Print_Area" localSheetId="1">'Rental Sources'!$A$1:$O$53</definedName>
    <definedName name="_xlnm.Print_Area" localSheetId="0">Uses!$A$1:$P$76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'HO Affordability'!$F$1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Uses">Uses!$A$1:$O$55</definedName>
    <definedName name="uses1">#REF!</definedName>
    <definedName name="Uses2">'[1]Rent &amp; Income limits'!$A$1:$F$45</definedName>
    <definedName name="Z_39C0FFE9_C671_44BB_B6D5_EEBEC2C53D52_.wvu.Cols" localSheetId="2" hidden="1">'HO Sources'!$B:$B</definedName>
    <definedName name="Z_39C0FFE9_C671_44BB_B6D5_EEBEC2C53D52_.wvu.Cols" localSheetId="1" hidden="1">'Rental Sources'!$F:$F</definedName>
    <definedName name="Z_39C0FFE9_C671_44BB_B6D5_EEBEC2C53D52_.wvu.Cols" localSheetId="0" hidden="1">Uses!$I:$I,Uses!#REF!</definedName>
    <definedName name="Z_39C0FFE9_C671_44BB_B6D5_EEBEC2C53D52_.wvu.PrintArea" localSheetId="3" hidden="1">'HO Affordability'!$B$1:$H$71</definedName>
    <definedName name="Z_39C0FFE9_C671_44BB_B6D5_EEBEC2C53D52_.wvu.PrintArea" localSheetId="2" hidden="1">'HO Sources'!$A$1:$J$48</definedName>
    <definedName name="Z_39C0FFE9_C671_44BB_B6D5_EEBEC2C53D52_.wvu.PrintArea" localSheetId="1" hidden="1">'Rental Sources'!$A$1:$O$53</definedName>
    <definedName name="Z_39C0FFE9_C671_44BB_B6D5_EEBEC2C53D52_.wvu.PrintArea" localSheetId="0" hidden="1">Uses!$A$1:$S$76</definedName>
  </definedNames>
  <calcPr calcId="145621"/>
  <customWorkbookViews>
    <customWorkbookView name="tgallagher - Personal View" guid="{39C0FFE9-C671-44BB-B6D5-EEBEC2C53D52}" mergeInterval="0" personalView="1" maximized="1" windowWidth="796" windowHeight="438" tabRatio="847" activeSheetId="7"/>
  </customWorkbookViews>
</workbook>
</file>

<file path=xl/calcChain.xml><?xml version="1.0" encoding="utf-8"?>
<calcChain xmlns="http://schemas.openxmlformats.org/spreadsheetml/2006/main">
  <c r="D45" i="3" l="1"/>
  <c r="B6" i="3"/>
  <c r="B7" i="3"/>
  <c r="B22" i="3" s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 l="1"/>
  <c r="C11" i="2" l="1"/>
  <c r="K7" i="2" l="1"/>
  <c r="I7" i="2"/>
  <c r="F28" i="14"/>
  <c r="E28" i="14"/>
  <c r="B30" i="14"/>
  <c r="D30" i="14" l="1"/>
  <c r="E30" i="14"/>
  <c r="F30" i="14"/>
  <c r="C30" i="14"/>
  <c r="C51" i="2" l="1"/>
  <c r="B41" i="14"/>
  <c r="B40" i="14"/>
  <c r="B39" i="14"/>
  <c r="B38" i="14"/>
  <c r="B37" i="14"/>
  <c r="B36" i="14"/>
  <c r="B35" i="14"/>
  <c r="B34" i="14"/>
  <c r="B33" i="14"/>
  <c r="B32" i="14"/>
  <c r="B31" i="14"/>
  <c r="F64" i="14"/>
  <c r="E64" i="14"/>
  <c r="D64" i="14"/>
  <c r="C64" i="14"/>
  <c r="B64" i="14"/>
  <c r="B28" i="14" s="1"/>
  <c r="F49" i="14"/>
  <c r="E49" i="14"/>
  <c r="D49" i="14"/>
  <c r="C49" i="14"/>
  <c r="N11" i="2" l="1"/>
  <c r="B26" i="14"/>
  <c r="K21" i="14"/>
  <c r="G21" i="14"/>
  <c r="F21" i="14"/>
  <c r="E21" i="14"/>
  <c r="D21" i="14"/>
  <c r="C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G5" i="14"/>
  <c r="F5" i="14"/>
  <c r="E5" i="14"/>
  <c r="D5" i="14"/>
  <c r="C5" i="14"/>
  <c r="H3" i="3"/>
  <c r="G3" i="3"/>
  <c r="F3" i="3"/>
  <c r="E3" i="3"/>
  <c r="D3" i="3"/>
  <c r="P1" i="2"/>
  <c r="N51" i="2" l="1"/>
  <c r="B21" i="14"/>
  <c r="D22" i="14"/>
  <c r="F22" i="14"/>
  <c r="C22" i="14"/>
  <c r="E22" i="14"/>
  <c r="G22" i="14"/>
  <c r="C52" i="2"/>
  <c r="N59" i="2" l="1"/>
  <c r="N58" i="2"/>
  <c r="N57" i="2"/>
  <c r="N52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16" i="2"/>
  <c r="N15" i="2"/>
  <c r="N12" i="2"/>
  <c r="D22" i="3" l="1"/>
  <c r="H22" i="3" l="1"/>
  <c r="E22" i="3"/>
  <c r="H45" i="3" l="1"/>
  <c r="E45" i="3"/>
  <c r="N20" i="2"/>
  <c r="N13" i="2"/>
  <c r="C7" i="2"/>
  <c r="O45" i="2" l="1"/>
  <c r="O33" i="2"/>
  <c r="O29" i="2"/>
  <c r="O59" i="2"/>
  <c r="O49" i="2"/>
  <c r="O37" i="2"/>
  <c r="O25" i="2"/>
  <c r="O58" i="2"/>
  <c r="O57" i="2"/>
  <c r="O41" i="2"/>
  <c r="O46" i="2"/>
  <c r="O26" i="2"/>
  <c r="O43" i="2"/>
  <c r="O27" i="2"/>
  <c r="O44" i="2"/>
  <c r="O28" i="2"/>
  <c r="O34" i="2"/>
  <c r="O50" i="2"/>
  <c r="O31" i="2"/>
  <c r="O47" i="2"/>
  <c r="O32" i="2"/>
  <c r="O48" i="2"/>
  <c r="O38" i="2"/>
  <c r="O11" i="2"/>
  <c r="O35" i="2"/>
  <c r="O51" i="2"/>
  <c r="O36" i="2"/>
  <c r="O52" i="2"/>
  <c r="O42" i="2"/>
  <c r="O22" i="2"/>
  <c r="O39" i="2"/>
  <c r="O23" i="2"/>
  <c r="O40" i="2"/>
  <c r="O24" i="2"/>
  <c r="O30" i="2"/>
  <c r="N53" i="2"/>
  <c r="N55" i="2" s="1"/>
  <c r="C45" i="2"/>
  <c r="C42" i="2"/>
  <c r="C41" i="2"/>
  <c r="C57" i="2"/>
  <c r="C50" i="2"/>
  <c r="C49" i="2"/>
  <c r="C48" i="2"/>
  <c r="C47" i="2"/>
  <c r="C46" i="2"/>
  <c r="C44" i="2"/>
  <c r="C43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19" i="2"/>
  <c r="C18" i="2"/>
  <c r="C17" i="2"/>
  <c r="C16" i="2"/>
  <c r="O16" i="2" s="1"/>
  <c r="C15" i="2"/>
  <c r="O15" i="2" s="1"/>
  <c r="C12" i="2"/>
  <c r="O12" i="2" s="1"/>
  <c r="M53" i="2"/>
  <c r="M20" i="2"/>
  <c r="M13" i="2"/>
  <c r="G53" i="2"/>
  <c r="G20" i="2"/>
  <c r="G13" i="2"/>
  <c r="O20" i="2" l="1"/>
  <c r="B16" i="2"/>
  <c r="C59" i="2"/>
  <c r="N61" i="2"/>
  <c r="C58" i="2"/>
  <c r="M55" i="2"/>
  <c r="G55" i="2"/>
  <c r="G61" i="2" s="1"/>
  <c r="D23" i="14" l="1"/>
  <c r="E24" i="3"/>
  <c r="M61" i="2"/>
  <c r="E23" i="3"/>
  <c r="E46" i="3"/>
  <c r="E47" i="3"/>
  <c r="H23" i="3" l="1"/>
  <c r="G23" i="14"/>
  <c r="H24" i="3"/>
  <c r="H47" i="3"/>
  <c r="H46" i="3"/>
  <c r="L22" i="3" l="1"/>
  <c r="I13" i="2"/>
  <c r="I20" i="2"/>
  <c r="I53" i="2"/>
  <c r="E13" i="2"/>
  <c r="E20" i="2"/>
  <c r="E53" i="2"/>
  <c r="C13" i="2"/>
  <c r="C73" i="2" s="1"/>
  <c r="C20" i="2"/>
  <c r="C53" i="2"/>
  <c r="B52" i="2" s="1"/>
  <c r="F24" i="7"/>
  <c r="F30" i="7" s="1"/>
  <c r="E21" i="7"/>
  <c r="H39" i="7"/>
  <c r="G39" i="7"/>
  <c r="F39" i="7"/>
  <c r="H42" i="7"/>
  <c r="H40" i="7" s="1"/>
  <c r="G42" i="7"/>
  <c r="G40" i="7" s="1"/>
  <c r="F40" i="7"/>
  <c r="G24" i="7"/>
  <c r="G25" i="7"/>
  <c r="G26" i="7" s="1"/>
  <c r="H24" i="7"/>
  <c r="H25" i="7" s="1"/>
  <c r="H26" i="7" s="1"/>
  <c r="H35" i="7"/>
  <c r="H30" i="7"/>
  <c r="C31" i="7"/>
  <c r="H36" i="7"/>
  <c r="G35" i="7"/>
  <c r="G36" i="7"/>
  <c r="G30" i="7"/>
  <c r="G32" i="7"/>
  <c r="G49" i="7"/>
  <c r="H49" i="7"/>
  <c r="H50" i="7" s="1"/>
  <c r="F49" i="7"/>
  <c r="C35" i="7"/>
  <c r="H37" i="7" s="1"/>
  <c r="H46" i="7"/>
  <c r="H45" i="7"/>
  <c r="H47" i="7"/>
  <c r="F35" i="7"/>
  <c r="F36" i="7"/>
  <c r="F45" i="7"/>
  <c r="C1" i="7"/>
  <c r="C4" i="7"/>
  <c r="E18" i="7"/>
  <c r="D35" i="7"/>
  <c r="F56" i="7"/>
  <c r="F57" i="7" s="1"/>
  <c r="G56" i="7"/>
  <c r="G63" i="7" s="1"/>
  <c r="H56" i="7"/>
  <c r="H57" i="7"/>
  <c r="F63" i="7"/>
  <c r="H63" i="7"/>
  <c r="E65" i="7"/>
  <c r="G57" i="7"/>
  <c r="F50" i="7"/>
  <c r="G50" i="7"/>
  <c r="H64" i="7"/>
  <c r="F64" i="7"/>
  <c r="E25" i="5"/>
  <c r="E47" i="5"/>
  <c r="E46" i="5"/>
  <c r="E45" i="5"/>
  <c r="E44" i="5"/>
  <c r="E42" i="5"/>
  <c r="E43" i="5"/>
  <c r="B22" i="5"/>
  <c r="B27" i="5" s="1"/>
  <c r="C22" i="5"/>
  <c r="C25" i="5" s="1"/>
  <c r="C28" i="5"/>
  <c r="C29" i="5"/>
  <c r="B28" i="5"/>
  <c r="B29" i="5"/>
  <c r="B16" i="5"/>
  <c r="C9" i="5"/>
  <c r="C10" i="5"/>
  <c r="C16" i="5" s="1"/>
  <c r="H1" i="5"/>
  <c r="D9" i="5"/>
  <c r="F9" i="5"/>
  <c r="D10" i="5"/>
  <c r="F10" i="5"/>
  <c r="D11" i="5"/>
  <c r="F11" i="5"/>
  <c r="D12" i="5"/>
  <c r="F12" i="5"/>
  <c r="D13" i="5"/>
  <c r="F13" i="5"/>
  <c r="D14" i="5"/>
  <c r="F14" i="5"/>
  <c r="D15" i="5"/>
  <c r="F15" i="5"/>
  <c r="E26" i="5"/>
  <c r="L28" i="3"/>
  <c r="F22" i="3"/>
  <c r="C67" i="2"/>
  <c r="C66" i="2"/>
  <c r="B22" i="14" s="1"/>
  <c r="C75" i="2"/>
  <c r="G64" i="7"/>
  <c r="H32" i="7"/>
  <c r="H41" i="7"/>
  <c r="H31" i="7"/>
  <c r="F37" i="7"/>
  <c r="F46" i="7"/>
  <c r="F47" i="7"/>
  <c r="G41" i="7"/>
  <c r="G43" i="7"/>
  <c r="G37" i="7"/>
  <c r="G46" i="7"/>
  <c r="G47" i="7" s="1"/>
  <c r="H27" i="7"/>
  <c r="F32" i="7"/>
  <c r="F31" i="7"/>
  <c r="G31" i="7"/>
  <c r="G27" i="7"/>
  <c r="F25" i="7"/>
  <c r="F26" i="7"/>
  <c r="F27" i="7"/>
  <c r="F43" i="7"/>
  <c r="H43" i="7"/>
  <c r="H51" i="7" s="1"/>
  <c r="H58" i="7"/>
  <c r="F51" i="7"/>
  <c r="F58" i="7"/>
  <c r="F65" i="7" s="1"/>
  <c r="H65" i="7"/>
  <c r="C65" i="2" l="1"/>
  <c r="C26" i="5"/>
  <c r="B26" i="5"/>
  <c r="F45" i="3"/>
  <c r="G25" i="5"/>
  <c r="G33" i="5" s="1"/>
  <c r="C27" i="5"/>
  <c r="C33" i="5" s="1"/>
  <c r="B25" i="5"/>
  <c r="B33" i="5" s="1"/>
  <c r="G26" i="5"/>
  <c r="E55" i="2"/>
  <c r="E61" i="2" s="1"/>
  <c r="I55" i="2"/>
  <c r="I61" i="2" s="1"/>
  <c r="E23" i="14" s="1"/>
  <c r="K53" i="2"/>
  <c r="K20" i="2"/>
  <c r="F61" i="7"/>
  <c r="H66" i="7"/>
  <c r="F54" i="7"/>
  <c r="H61" i="7"/>
  <c r="F66" i="7"/>
  <c r="K13" i="2"/>
  <c r="H52" i="7"/>
  <c r="H54" i="7"/>
  <c r="G58" i="7"/>
  <c r="G51" i="7"/>
  <c r="F68" i="7"/>
  <c r="F59" i="7"/>
  <c r="H59" i="7"/>
  <c r="F52" i="7"/>
  <c r="H68" i="7"/>
  <c r="G22" i="3"/>
  <c r="C55" i="2"/>
  <c r="C61" i="2" s="1"/>
  <c r="B23" i="14" l="1"/>
  <c r="B23" i="3"/>
  <c r="B24" i="3"/>
  <c r="B46" i="3"/>
  <c r="B47" i="3"/>
  <c r="F24" i="3"/>
  <c r="D23" i="3"/>
  <c r="C23" i="14"/>
  <c r="D24" i="3"/>
  <c r="F47" i="3"/>
  <c r="F46" i="3"/>
  <c r="F23" i="3"/>
  <c r="D47" i="3"/>
  <c r="D46" i="3"/>
  <c r="G61" i="7"/>
  <c r="G65" i="7"/>
  <c r="G59" i="7"/>
  <c r="K55" i="2"/>
  <c r="G45" i="3"/>
  <c r="G54" i="7"/>
  <c r="G52" i="7"/>
  <c r="B58" i="2"/>
  <c r="B59" i="2"/>
  <c r="B17" i="5"/>
  <c r="C68" i="2"/>
  <c r="B35" i="5"/>
  <c r="B18" i="5"/>
  <c r="O18" i="2" l="1"/>
  <c r="O17" i="2"/>
  <c r="O19" i="2"/>
  <c r="K61" i="2"/>
  <c r="G68" i="7"/>
  <c r="G66" i="7"/>
  <c r="C71" i="2"/>
  <c r="C72" i="2"/>
  <c r="C70" i="2"/>
  <c r="F23" i="14" l="1"/>
  <c r="G24" i="3"/>
  <c r="G46" i="3"/>
  <c r="O13" i="2"/>
  <c r="G47" i="3"/>
  <c r="O53" i="2"/>
  <c r="C35" i="5"/>
  <c r="C18" i="5"/>
  <c r="C17" i="5"/>
  <c r="G23" i="3"/>
  <c r="C74" i="2"/>
  <c r="C76" i="2" s="1"/>
  <c r="O55" i="2" l="1"/>
  <c r="O61" i="2" s="1"/>
</calcChain>
</file>

<file path=xl/comments1.xml><?xml version="1.0" encoding="utf-8"?>
<comments xmlns="http://schemas.openxmlformats.org/spreadsheetml/2006/main">
  <authors>
    <author>O'Keefe, Christine (DND)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O'Keefe, Christine (DND):</t>
        </r>
        <r>
          <rPr>
            <sz val="9"/>
            <color indexed="81"/>
            <rFont val="Tahoma"/>
            <family val="2"/>
          </rPr>
          <t xml:space="preserve">
Change label to read 60% if this is a Tax Credit Project.  Federal Resources Can go up 60% on Rental Project and 80% on an Ownership Project.  
NHT and Housing Boston 2030 Funds can go up to 80%.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O'Keefe, Christine (DND):</t>
        </r>
        <r>
          <rPr>
            <sz val="9"/>
            <color indexed="81"/>
            <rFont val="Tahoma"/>
            <family val="2"/>
          </rPr>
          <t xml:space="preserve">
Change Label to read 70% if this is a rental project and you are seeking IDP.
IDP Source is restricted to 70% on rental projects and 100% on Ownership projects.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O'Keefe, Christine (DND):</t>
        </r>
        <r>
          <rPr>
            <sz val="9"/>
            <color indexed="81"/>
            <rFont val="Tahoma"/>
            <family val="2"/>
          </rPr>
          <t xml:space="preserve">
IDP units that are required to be developed on site by the BPDA cannot be supported by any other affordable housing resources.</t>
        </r>
      </text>
    </comment>
  </commentList>
</comments>
</file>

<file path=xl/sharedStrings.xml><?xml version="1.0" encoding="utf-8"?>
<sst xmlns="http://schemas.openxmlformats.org/spreadsheetml/2006/main" count="332" uniqueCount="205">
  <si>
    <t>Project Name:</t>
  </si>
  <si>
    <t>Project Address:</t>
  </si>
  <si>
    <t xml:space="preserve"> </t>
  </si>
  <si>
    <t>Total</t>
  </si>
  <si>
    <t>DEVELOPMENT PRO FORMA</t>
  </si>
  <si>
    <t>USES OF CASH</t>
  </si>
  <si>
    <t>Comments</t>
  </si>
  <si>
    <t>Acquisition - Land</t>
  </si>
  <si>
    <t>Acquisition - Building</t>
  </si>
  <si>
    <t>Subtotal:  Acquisition</t>
  </si>
  <si>
    <t>Direct Construction Budget</t>
  </si>
  <si>
    <t>Contingency</t>
  </si>
  <si>
    <t>Subtotal:  Construction</t>
  </si>
  <si>
    <t>Architecture and Engineering</t>
  </si>
  <si>
    <t>Survey and Permits</t>
  </si>
  <si>
    <t>Clerk of the Works</t>
  </si>
  <si>
    <t>Environmental Engineer</t>
  </si>
  <si>
    <t>Bond Premium</t>
  </si>
  <si>
    <t>Title and Recording</t>
  </si>
  <si>
    <t>Accounting and Cost Certification</t>
  </si>
  <si>
    <t>Marketing and Rent Up</t>
  </si>
  <si>
    <t>Real Estate Taxes</t>
  </si>
  <si>
    <t>Insurance</t>
  </si>
  <si>
    <t>Relocation</t>
  </si>
  <si>
    <t>Appraisal</t>
  </si>
  <si>
    <t>Security</t>
  </si>
  <si>
    <t>Inspecting Engineer</t>
  </si>
  <si>
    <t>Letter of Credit Fees</t>
  </si>
  <si>
    <t>Development Consultant</t>
  </si>
  <si>
    <t>Soft Cost Contingency</t>
  </si>
  <si>
    <t>Subtotal:  Acq., Const. and Gen. Dev.</t>
  </si>
  <si>
    <t>Capitalized Reserves</t>
  </si>
  <si>
    <t>Developer Overhead</t>
  </si>
  <si>
    <t>Developer Fee</t>
  </si>
  <si>
    <t>Total Development Cost</t>
  </si>
  <si>
    <t>SOURCES OF FUNDS</t>
  </si>
  <si>
    <t>Amount</t>
  </si>
  <si>
    <t>Term</t>
  </si>
  <si>
    <t>Rate</t>
  </si>
  <si>
    <t>Amort.</t>
  </si>
  <si>
    <t>Payment</t>
  </si>
  <si>
    <t>Status</t>
  </si>
  <si>
    <t>Construction Financing</t>
  </si>
  <si>
    <t>Construction Loan</t>
  </si>
  <si>
    <t>Developer Equity</t>
  </si>
  <si>
    <t>DND</t>
  </si>
  <si>
    <t>DHCD</t>
  </si>
  <si>
    <t>Source 1</t>
  </si>
  <si>
    <t>Source 2</t>
  </si>
  <si>
    <t>Total Construction Financing</t>
  </si>
  <si>
    <t>Surplus/Gap</t>
  </si>
  <si>
    <t>Permanent Financing</t>
  </si>
  <si>
    <t xml:space="preserve">DND - </t>
  </si>
  <si>
    <t>Total Permanent Financing</t>
  </si>
  <si>
    <t>First Mortgage:</t>
  </si>
  <si>
    <t>Soft Second Mortgage:</t>
  </si>
  <si>
    <t>Annual</t>
  </si>
  <si>
    <t>Number of Ownership Units:</t>
  </si>
  <si>
    <t>Owner Downpayment *</t>
  </si>
  <si>
    <t>Owner Downpayment may include homebuyer assistance form DND or others, which will total 5%.</t>
  </si>
  <si>
    <t>Legal-DND</t>
  </si>
  <si>
    <t>Legal-Bank</t>
  </si>
  <si>
    <t>Legal</t>
  </si>
  <si>
    <t>Reserves</t>
  </si>
  <si>
    <t>Address</t>
  </si>
  <si>
    <t>Owner Unit Info:</t>
  </si>
  <si>
    <t>Unit #</t>
  </si>
  <si>
    <t>Number of Bedrooms</t>
  </si>
  <si>
    <t>Total SF =</t>
  </si>
  <si>
    <t>Individual Unit SF =</t>
  </si>
  <si>
    <t>Targeted % of AMI</t>
  </si>
  <si>
    <t>Rental Unit Info: # of Rental Units</t>
  </si>
  <si>
    <t>Avg. Rent Per Unit:</t>
  </si>
  <si>
    <t>Appraisal Info:</t>
  </si>
  <si>
    <t>Totals:</t>
  </si>
  <si>
    <t>As Is</t>
  </si>
  <si>
    <t>As Completed</t>
  </si>
  <si>
    <t>As Completed &amp; Sold</t>
  </si>
  <si>
    <t>Sales Price</t>
  </si>
  <si>
    <t>Downpayment</t>
  </si>
  <si>
    <t>Total Mortgage(s) Req'd:</t>
  </si>
  <si>
    <t>I Rate</t>
  </si>
  <si>
    <t>80% units</t>
  </si>
  <si>
    <t>other units</t>
  </si>
  <si>
    <t xml:space="preserve">2nd Mortgage:         </t>
  </si>
  <si>
    <t>n/a</t>
  </si>
  <si>
    <t>Amount =</t>
  </si>
  <si>
    <t>Taxes @</t>
  </si>
  <si>
    <t xml:space="preserve">per </t>
  </si>
  <si>
    <r>
      <t xml:space="preserve">Insurance </t>
    </r>
    <r>
      <rPr>
        <sz val="8"/>
        <rFont val="Arial"/>
        <family val="2"/>
      </rPr>
      <t>(fee simple Only)</t>
    </r>
  </si>
  <si>
    <t xml:space="preserve">PMI </t>
  </si>
  <si>
    <t>Condo Exp/Fee (Allocated by SF) Annual Total =</t>
  </si>
  <si>
    <t>TOTAL</t>
  </si>
  <si>
    <t>Gross Rental Income</t>
  </si>
  <si>
    <t xml:space="preserve">% of Rents </t>
  </si>
  <si>
    <t>Net Rental Income:</t>
  </si>
  <si>
    <t>HH size = # of BDRs</t>
  </si>
  <si>
    <t xml:space="preserve">Min. Income Req'd @ Hsg/Inc = </t>
  </si>
  <si>
    <t>HH size = # of BDRs + 1</t>
  </si>
  <si>
    <t>Notes:</t>
  </si>
  <si>
    <t>Soft Second Program (80% of AMI) underwritten @ &lt; .33 Hsg./Inc.</t>
  </si>
  <si>
    <t>PMI not required for Soft Second Program (80% of AMI) units</t>
  </si>
  <si>
    <t>Specify who pays Property &amp; Liability Ins. - Condo Budget or individual homeowners</t>
  </si>
  <si>
    <r>
      <t>I</t>
    </r>
    <r>
      <rPr>
        <u val="singleAccounting"/>
        <vertAlign val="superscript"/>
        <sz val="10"/>
        <rFont val="Arial"/>
        <family val="2"/>
      </rPr>
      <t>st</t>
    </r>
    <r>
      <rPr>
        <u val="singleAccounting"/>
        <sz val="10"/>
        <rFont val="Arial"/>
        <family val="2"/>
      </rPr>
      <t xml:space="preserve"> Mortgage:</t>
    </r>
  </si>
  <si>
    <r>
      <t xml:space="preserve">Payment = 25% of I only  </t>
    </r>
    <r>
      <rPr>
        <i/>
        <sz val="10"/>
        <rFont val="Arial"/>
        <family val="2"/>
      </rPr>
      <t>(Years 1-5)</t>
    </r>
  </si>
  <si>
    <t>SS Program @75% Others @ 50%</t>
  </si>
  <si>
    <t>Maximum Fee Calculation:</t>
  </si>
  <si>
    <t>Basis:    TDC</t>
  </si>
  <si>
    <t>Subtotal:  General Development</t>
  </si>
  <si>
    <t xml:space="preserve">  (Anticipated Net Sales Proceeds)</t>
  </si>
  <si>
    <t>Maximum Allowed Income for Targeted AMI</t>
  </si>
  <si>
    <t>LENDER NAME</t>
  </si>
  <si>
    <t>AMOUNT</t>
  </si>
  <si>
    <t>CONSTRUCTION</t>
  </si>
  <si>
    <t xml:space="preserve">Shared Second Mortgage: </t>
  </si>
  <si>
    <t xml:space="preserve">Third Mortgage: </t>
  </si>
  <si>
    <t>DHCD - Other</t>
  </si>
  <si>
    <t xml:space="preserve">Fourth Mortgage: </t>
  </si>
  <si>
    <t>Fifth Mortgage:</t>
  </si>
  <si>
    <t>DHCD - HOME/HSF</t>
  </si>
  <si>
    <t>Other units underwritten @ .30 Hsg./Inc.</t>
  </si>
  <si>
    <t>Current Amount</t>
  </si>
  <si>
    <t>Original Amount</t>
  </si>
  <si>
    <t>Handicapped Allowance</t>
  </si>
  <si>
    <t xml:space="preserve">Min. Income Req'd @ Hsg/Inc =   </t>
  </si>
  <si>
    <t>Total Sales Proceeds:</t>
  </si>
  <si>
    <t>Marketing Window =</t>
  </si>
  <si>
    <t>of AMI</t>
  </si>
  <si>
    <t>PERMITTED INDEBTEDNESS:</t>
  </si>
  <si>
    <t>Maximum Fee &amp; OH Allowed</t>
  </si>
  <si>
    <t>term</t>
  </si>
  <si>
    <t>int. rate</t>
  </si>
  <si>
    <t># of blgs to be sold at that price:</t>
  </si>
  <si>
    <t>Variance</t>
  </si>
  <si>
    <t xml:space="preserve">Project Name: </t>
  </si>
  <si>
    <t>Window Guard Allowance</t>
  </si>
  <si>
    <t>Other Financing Fees:</t>
  </si>
  <si>
    <t>Closing Budget Sign Off:</t>
  </si>
  <si>
    <t>Project Manager</t>
  </si>
  <si>
    <t>Senior Project Manager</t>
  </si>
  <si>
    <t>of the</t>
  </si>
  <si>
    <t>P &amp; I Payment</t>
  </si>
  <si>
    <t>Less:  Acquisition</t>
  </si>
  <si>
    <t>Fee &amp; OH</t>
  </si>
  <si>
    <t>Total Requested Fee, OH &amp; Consultant:</t>
  </si>
  <si>
    <t>Original Total</t>
  </si>
  <si>
    <t>Commercial</t>
  </si>
  <si>
    <t>Development Officer</t>
  </si>
  <si>
    <t>Senior Development Officer</t>
  </si>
  <si>
    <t>amort.</t>
  </si>
  <si>
    <t>Ann. Pyment</t>
  </si>
  <si>
    <t>Allowed Fee on Acquisition</t>
  </si>
  <si>
    <t>DND BASIS</t>
  </si>
  <si>
    <t>First $3,000,000 of Basis</t>
  </si>
  <si>
    <t>Between $3,000,000 and $5,000,000</t>
  </si>
  <si>
    <t>Basis over $5,000,000</t>
  </si>
  <si>
    <t>Deferred Fee</t>
  </si>
  <si>
    <t>Residential Per Unit</t>
  </si>
  <si>
    <t>Market Rate</t>
  </si>
  <si>
    <t>Environmental  Remediation</t>
  </si>
  <si>
    <t>TOTAL NUMBER OF UNITS</t>
  </si>
  <si>
    <t>Market Rate Cross Subsidy</t>
  </si>
  <si>
    <t>NHT</t>
  </si>
  <si>
    <t>Affordable Units Below 80% AMI</t>
  </si>
  <si>
    <t>IDP Required On-Site Units</t>
  </si>
  <si>
    <t>Construction Lender</t>
  </si>
  <si>
    <r>
      <t>State HTC (</t>
    </r>
    <r>
      <rPr>
        <sz val="10"/>
        <color rgb="FFFF0000"/>
        <rFont val="Arial"/>
        <family val="2"/>
      </rPr>
      <t>Define Yield?</t>
    </r>
    <r>
      <rPr>
        <sz val="10"/>
        <rFont val="Arial"/>
        <family val="2"/>
      </rPr>
      <t>)</t>
    </r>
  </si>
  <si>
    <r>
      <t>Fed HTC (</t>
    </r>
    <r>
      <rPr>
        <sz val="10"/>
        <color rgb="FFFF0000"/>
        <rFont val="Arial"/>
        <family val="2"/>
      </rPr>
      <t>Define Yield?</t>
    </r>
    <r>
      <rPr>
        <sz val="10"/>
        <rFont val="Arial"/>
        <family val="2"/>
      </rPr>
      <t>)</t>
    </r>
  </si>
  <si>
    <r>
      <t>DHDC (</t>
    </r>
    <r>
      <rPr>
        <sz val="10"/>
        <color rgb="FFFF0000"/>
        <rFont val="Arial"/>
        <family val="2"/>
      </rPr>
      <t>List sources of of funding</t>
    </r>
    <r>
      <rPr>
        <sz val="10"/>
        <rFont val="Arial"/>
        <family val="2"/>
      </rPr>
      <t>)</t>
    </r>
  </si>
  <si>
    <r>
      <t>Other Sources (</t>
    </r>
    <r>
      <rPr>
        <sz val="10"/>
        <color rgb="FFFF0000"/>
        <rFont val="Arial"/>
        <family val="2"/>
      </rPr>
      <t>List Name</t>
    </r>
    <r>
      <rPr>
        <sz val="10"/>
        <rFont val="Arial"/>
        <family val="2"/>
      </rPr>
      <t>)</t>
    </r>
  </si>
  <si>
    <r>
      <t>Fed HTC (</t>
    </r>
    <r>
      <rPr>
        <sz val="10"/>
        <color rgb="FFFF0000"/>
        <rFont val="Arial"/>
        <family val="2"/>
      </rPr>
      <t>Define Yield</t>
    </r>
    <r>
      <rPr>
        <sz val="10"/>
        <rFont val="Arial"/>
        <family val="2"/>
      </rPr>
      <t>)</t>
    </r>
  </si>
  <si>
    <r>
      <t>State HTC (</t>
    </r>
    <r>
      <rPr>
        <sz val="10"/>
        <color rgb="FFFF0000"/>
        <rFont val="Arial"/>
        <family val="2"/>
      </rPr>
      <t>Define Yield</t>
    </r>
    <r>
      <rPr>
        <sz val="10"/>
        <rFont val="Arial"/>
        <family val="2"/>
      </rPr>
      <t>)</t>
    </r>
  </si>
  <si>
    <r>
      <t>LIHTC (</t>
    </r>
    <r>
      <rPr>
        <sz val="10"/>
        <color rgb="FFFF0000"/>
        <rFont val="Arial"/>
        <family val="2"/>
      </rPr>
      <t>4% or 9%?</t>
    </r>
    <r>
      <rPr>
        <sz val="10"/>
        <rFont val="Arial"/>
        <family val="2"/>
      </rPr>
      <t>)</t>
    </r>
  </si>
  <si>
    <t>Sales Proceeds:</t>
  </si>
  <si>
    <t>Building Type/Bedroom Type</t>
  </si>
  <si>
    <t># of Units</t>
  </si>
  <si>
    <t>Deferred Equity</t>
  </si>
  <si>
    <t>MIP</t>
  </si>
  <si>
    <t xml:space="preserve">Other:  </t>
  </si>
  <si>
    <t>Brokerage Fees</t>
  </si>
  <si>
    <t xml:space="preserve">Net Sales Proceeds: </t>
  </si>
  <si>
    <t>Market Cross Subsidy</t>
  </si>
  <si>
    <t>N/A</t>
  </si>
  <si>
    <t>Acquisition Loan Interest</t>
  </si>
  <si>
    <t>Bridge Loan Interest</t>
  </si>
  <si>
    <t>Pre Development loan interest</t>
  </si>
  <si>
    <t>Fees to:  Mass Housing</t>
  </si>
  <si>
    <t>Fees to:   CEDAC &amp; DHCD</t>
  </si>
  <si>
    <r>
      <t xml:space="preserve">Fees to: </t>
    </r>
    <r>
      <rPr>
        <u/>
        <sz val="10"/>
        <rFont val="Arial"/>
        <family val="2"/>
      </rPr>
      <t xml:space="preserve">  TC</t>
    </r>
  </si>
  <si>
    <t>Prelim A &amp; E costs &amp; C N A</t>
  </si>
  <si>
    <t>0 BR</t>
  </si>
  <si>
    <t>1 BR</t>
  </si>
  <si>
    <t>3 BR</t>
  </si>
  <si>
    <t>2BR Includes concession unit</t>
  </si>
  <si>
    <t>MassHousing workforce def loan</t>
  </si>
  <si>
    <t>IRP 'go-to' payment</t>
  </si>
  <si>
    <t>DHCD - CIPF</t>
  </si>
  <si>
    <t>DHDC (CIPF)</t>
  </si>
  <si>
    <t>Permanent Loan MassHousing</t>
  </si>
  <si>
    <r>
      <t>LIHTC (</t>
    </r>
    <r>
      <rPr>
        <sz val="10"/>
        <color rgb="FFFF0000"/>
        <rFont val="Arial"/>
        <family val="2"/>
      </rPr>
      <t>4%</t>
    </r>
    <r>
      <rPr>
        <sz val="10"/>
        <rFont val="Arial"/>
        <family val="2"/>
      </rPr>
      <t>)</t>
    </r>
  </si>
  <si>
    <t xml:space="preserve">DND </t>
  </si>
  <si>
    <t>ADD ADDITIONAL COLUMNS AS NEEDED TO REFLECT INCOME LIMITS</t>
  </si>
  <si>
    <t>Affordable Units Below 100% of AMI</t>
  </si>
  <si>
    <t>Residential Per Unit for Units at or below 80%</t>
  </si>
  <si>
    <t>Credit Enhancement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</si>
</sst>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%"/>
    <numFmt numFmtId="168" formatCode="&quot;$&quot;#,##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u val="singleAccounting"/>
      <sz val="10"/>
      <name val="Arial"/>
      <family val="2"/>
    </font>
    <font>
      <u val="singleAccounting"/>
      <vertAlign val="superscript"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Border="1"/>
    <xf numFmtId="14" fontId="1" fillId="0" borderId="0" xfId="0" applyNumberFormat="1" applyFont="1"/>
    <xf numFmtId="164" fontId="1" fillId="0" borderId="0" xfId="0" applyNumberFormat="1" applyFont="1"/>
    <xf numFmtId="164" fontId="0" fillId="0" borderId="0" xfId="1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/>
    <xf numFmtId="3" fontId="0" fillId="0" borderId="0" xfId="0" applyNumberFormat="1"/>
    <xf numFmtId="0" fontId="7" fillId="0" borderId="0" xfId="0" applyFont="1" applyAlignment="1">
      <alignment horizontal="center"/>
    </xf>
    <xf numFmtId="168" fontId="0" fillId="0" borderId="0" xfId="0" applyNumberFormat="1"/>
    <xf numFmtId="0" fontId="4" fillId="0" borderId="0" xfId="0" applyFont="1" applyBorder="1"/>
    <xf numFmtId="0" fontId="0" fillId="0" borderId="0" xfId="0" applyFill="1"/>
    <xf numFmtId="0" fontId="0" fillId="0" borderId="8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64" fontId="10" fillId="0" borderId="0" xfId="1" applyNumberFormat="1" applyFont="1" applyBorder="1" applyAlignment="1">
      <alignment horizontal="center"/>
    </xf>
    <xf numFmtId="164" fontId="3" fillId="0" borderId="0" xfId="1" applyNumberFormat="1"/>
    <xf numFmtId="0" fontId="0" fillId="0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9" fontId="10" fillId="0" borderId="0" xfId="3" applyFont="1" applyAlignment="1">
      <alignment horizontal="center"/>
    </xf>
    <xf numFmtId="9" fontId="10" fillId="0" borderId="0" xfId="3" applyFont="1" applyBorder="1" applyAlignment="1">
      <alignment horizontal="center"/>
    </xf>
    <xf numFmtId="0" fontId="0" fillId="0" borderId="3" xfId="0" applyBorder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Border="1"/>
    <xf numFmtId="0" fontId="0" fillId="0" borderId="2" xfId="0" applyBorder="1"/>
    <xf numFmtId="164" fontId="3" fillId="0" borderId="2" xfId="1" applyNumberFormat="1" applyBorder="1"/>
    <xf numFmtId="164" fontId="3" fillId="0" borderId="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5" fontId="10" fillId="0" borderId="0" xfId="0" applyNumberFormat="1" applyFont="1" applyAlignment="1">
      <alignment horizontal="center"/>
    </xf>
    <xf numFmtId="43" fontId="11" fillId="0" borderId="0" xfId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6" fontId="10" fillId="0" borderId="0" xfId="2" applyNumberFormat="1" applyFont="1" applyBorder="1"/>
    <xf numFmtId="166" fontId="3" fillId="0" borderId="0" xfId="2" applyNumberFormat="1" applyBorder="1"/>
    <xf numFmtId="164" fontId="10" fillId="0" borderId="0" xfId="1" applyNumberFormat="1" applyFont="1" applyBorder="1"/>
    <xf numFmtId="0" fontId="0" fillId="0" borderId="0" xfId="0" applyBorder="1" applyAlignment="1">
      <alignment horizontal="left"/>
    </xf>
    <xf numFmtId="166" fontId="3" fillId="0" borderId="7" xfId="2" applyNumberFormat="1" applyBorder="1"/>
    <xf numFmtId="166" fontId="3" fillId="0" borderId="15" xfId="2" applyNumberFormat="1" applyBorder="1"/>
    <xf numFmtId="166" fontId="3" fillId="0" borderId="16" xfId="2" applyNumberFormat="1" applyBorder="1"/>
    <xf numFmtId="164" fontId="3" fillId="0" borderId="3" xfId="1" applyNumberFormat="1" applyBorder="1"/>
    <xf numFmtId="166" fontId="3" fillId="0" borderId="0" xfId="2" applyNumberFormat="1"/>
    <xf numFmtId="164" fontId="11" fillId="0" borderId="0" xfId="1" applyNumberFormat="1" applyFont="1" applyBorder="1"/>
    <xf numFmtId="164" fontId="3" fillId="0" borderId="0" xfId="1" applyNumberFormat="1" applyBorder="1" applyAlignment="1">
      <alignment horizontal="center"/>
    </xf>
    <xf numFmtId="43" fontId="11" fillId="0" borderId="5" xfId="1" applyFont="1" applyBorder="1" applyAlignment="1">
      <alignment horizontal="left"/>
    </xf>
    <xf numFmtId="43" fontId="11" fillId="0" borderId="5" xfId="1" applyFont="1" applyBorder="1" applyAlignment="1">
      <alignment horizontal="center"/>
    </xf>
    <xf numFmtId="0" fontId="0" fillId="0" borderId="5" xfId="0" applyBorder="1"/>
    <xf numFmtId="164" fontId="3" fillId="0" borderId="5" xfId="1" applyNumberFormat="1" applyBorder="1"/>
    <xf numFmtId="9" fontId="3" fillId="0" borderId="5" xfId="3" applyFont="1" applyBorder="1"/>
    <xf numFmtId="0" fontId="0" fillId="0" borderId="0" xfId="0" applyBorder="1" applyAlignment="1">
      <alignment horizontal="left" indent="2"/>
    </xf>
    <xf numFmtId="0" fontId="10" fillId="0" borderId="0" xfId="1" applyNumberFormat="1" applyFont="1" applyBorder="1" applyAlignment="1">
      <alignment horizontal="right"/>
    </xf>
    <xf numFmtId="9" fontId="3" fillId="0" borderId="0" xfId="1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64" fontId="3" fillId="0" borderId="0" xfId="1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6" fillId="0" borderId="0" xfId="0" applyNumberFormat="1" applyFont="1" applyBorder="1"/>
    <xf numFmtId="43" fontId="11" fillId="0" borderId="0" xfId="1" applyFont="1" applyBorder="1" applyAlignment="1">
      <alignment horizontal="left"/>
    </xf>
    <xf numFmtId="10" fontId="0" fillId="0" borderId="0" xfId="0" applyNumberFormat="1" applyBorder="1"/>
    <xf numFmtId="0" fontId="3" fillId="0" borderId="0" xfId="1" applyNumberFormat="1" applyBorder="1" applyAlignment="1">
      <alignment horizontal="right"/>
    </xf>
    <xf numFmtId="9" fontId="3" fillId="0" borderId="0" xfId="3" applyFont="1" applyBorder="1" applyAlignment="1">
      <alignment horizontal="right"/>
    </xf>
    <xf numFmtId="167" fontId="3" fillId="0" borderId="0" xfId="3" applyNumberFormat="1" applyFont="1" applyBorder="1" applyAlignment="1">
      <alignment horizontal="center"/>
    </xf>
    <xf numFmtId="10" fontId="0" fillId="0" borderId="1" xfId="0" applyNumberFormat="1" applyBorder="1"/>
    <xf numFmtId="0" fontId="0" fillId="0" borderId="1" xfId="0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7" fontId="10" fillId="0" borderId="0" xfId="2" applyNumberFormat="1" applyFont="1" applyBorder="1"/>
    <xf numFmtId="0" fontId="0" fillId="0" borderId="0" xfId="0" applyBorder="1" applyAlignment="1">
      <alignment horizontal="center"/>
    </xf>
    <xf numFmtId="5" fontId="3" fillId="0" borderId="0" xfId="2" applyNumberFormat="1" applyBorder="1" applyAlignment="1">
      <alignment horizontal="left"/>
    </xf>
    <xf numFmtId="164" fontId="3" fillId="0" borderId="0" xfId="1" applyNumberFormat="1" applyFont="1"/>
    <xf numFmtId="43" fontId="11" fillId="0" borderId="0" xfId="1" applyFont="1" applyBorder="1"/>
    <xf numFmtId="0" fontId="6" fillId="0" borderId="0" xfId="0" applyFont="1" applyBorder="1" applyAlignment="1">
      <alignment horizontal="center"/>
    </xf>
    <xf numFmtId="9" fontId="10" fillId="0" borderId="0" xfId="3" applyFont="1" applyBorder="1" applyAlignment="1">
      <alignment horizontal="left"/>
    </xf>
    <xf numFmtId="9" fontId="3" fillId="0" borderId="0" xfId="3" applyFont="1" applyBorder="1"/>
    <xf numFmtId="0" fontId="0" fillId="0" borderId="3" xfId="0" applyBorder="1" applyAlignment="1">
      <alignment horizontal="left" indent="6"/>
    </xf>
    <xf numFmtId="9" fontId="3" fillId="0" borderId="3" xfId="3" applyFont="1" applyBorder="1" applyAlignment="1">
      <alignment horizontal="right"/>
    </xf>
    <xf numFmtId="164" fontId="3" fillId="0" borderId="3" xfId="1" applyNumberFormat="1" applyFont="1" applyBorder="1" applyAlignment="1">
      <alignment horizontal="center"/>
    </xf>
    <xf numFmtId="43" fontId="11" fillId="0" borderId="0" xfId="1" applyFont="1"/>
    <xf numFmtId="0" fontId="0" fillId="0" borderId="0" xfId="0" applyAlignment="1">
      <alignment horizontal="left" indent="1"/>
    </xf>
    <xf numFmtId="14" fontId="0" fillId="0" borderId="0" xfId="0" applyNumberFormat="1"/>
    <xf numFmtId="2" fontId="6" fillId="0" borderId="1" xfId="0" applyNumberFormat="1" applyFont="1" applyBorder="1"/>
    <xf numFmtId="0" fontId="6" fillId="0" borderId="0" xfId="0" applyFont="1"/>
    <xf numFmtId="10" fontId="6" fillId="0" borderId="0" xfId="3" applyNumberFormat="1" applyFont="1"/>
    <xf numFmtId="164" fontId="6" fillId="0" borderId="0" xfId="1" applyNumberFormat="1" applyFont="1"/>
    <xf numFmtId="0" fontId="6" fillId="0" borderId="1" xfId="0" applyFont="1" applyBorder="1"/>
    <xf numFmtId="10" fontId="6" fillId="0" borderId="1" xfId="3" applyNumberFormat="1" applyFont="1" applyBorder="1"/>
    <xf numFmtId="2" fontId="6" fillId="0" borderId="0" xfId="0" applyNumberFormat="1" applyFont="1"/>
    <xf numFmtId="3" fontId="6" fillId="0" borderId="0" xfId="1" applyNumberFormat="1" applyFont="1"/>
    <xf numFmtId="0" fontId="0" fillId="0" borderId="0" xfId="0" applyAlignment="1">
      <alignment wrapText="1"/>
    </xf>
    <xf numFmtId="168" fontId="0" fillId="0" borderId="0" xfId="1" applyNumberFormat="1" applyFont="1"/>
    <xf numFmtId="3" fontId="1" fillId="0" borderId="18" xfId="1" applyNumberFormat="1" applyFont="1" applyBorder="1"/>
    <xf numFmtId="3" fontId="0" fillId="0" borderId="0" xfId="1" applyNumberFormat="1" applyFont="1" applyBorder="1"/>
    <xf numFmtId="168" fontId="0" fillId="0" borderId="1" xfId="1" applyNumberFormat="1" applyFont="1" applyBorder="1"/>
    <xf numFmtId="168" fontId="1" fillId="0" borderId="0" xfId="1" applyNumberFormat="1" applyFont="1"/>
    <xf numFmtId="168" fontId="1" fillId="0" borderId="0" xfId="0" applyNumberFormat="1" applyFont="1"/>
    <xf numFmtId="168" fontId="0" fillId="0" borderId="0" xfId="2" applyNumberFormat="1" applyFont="1"/>
    <xf numFmtId="3" fontId="1" fillId="0" borderId="0" xfId="0" applyNumberFormat="1" applyFont="1"/>
    <xf numFmtId="42" fontId="10" fillId="0" borderId="0" xfId="0" applyNumberFormat="1" applyFont="1" applyBorder="1"/>
    <xf numFmtId="3" fontId="10" fillId="0" borderId="0" xfId="3" applyNumberFormat="1" applyFont="1" applyAlignment="1">
      <alignment horizontal="center"/>
    </xf>
    <xf numFmtId="10" fontId="8" fillId="0" borderId="0" xfId="0" applyNumberFormat="1" applyFont="1" applyBorder="1" applyAlignment="1">
      <alignment horizontal="center"/>
    </xf>
    <xf numFmtId="9" fontId="6" fillId="0" borderId="0" xfId="0" applyNumberFormat="1" applyFont="1"/>
    <xf numFmtId="168" fontId="0" fillId="0" borderId="0" xfId="1" applyNumberFormat="1" applyFont="1" applyBorder="1"/>
    <xf numFmtId="43" fontId="6" fillId="0" borderId="0" xfId="1" applyFont="1" applyBorder="1"/>
    <xf numFmtId="0" fontId="4" fillId="0" borderId="0" xfId="0" applyFont="1" applyAlignment="1">
      <alignment horizontal="center" wrapText="1"/>
    </xf>
    <xf numFmtId="167" fontId="6" fillId="0" borderId="0" xfId="3" applyNumberFormat="1" applyFont="1" applyBorder="1"/>
    <xf numFmtId="9" fontId="15" fillId="0" borderId="0" xfId="0" applyNumberFormat="1" applyFont="1" applyBorder="1" applyAlignment="1">
      <alignment horizontal="center"/>
    </xf>
    <xf numFmtId="9" fontId="15" fillId="0" borderId="0" xfId="3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9" fontId="3" fillId="0" borderId="19" xfId="3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8" fontId="0" fillId="0" borderId="0" xfId="0" applyNumberFormat="1" applyAlignment="1"/>
    <xf numFmtId="164" fontId="15" fillId="0" borderId="0" xfId="1" applyNumberFormat="1" applyFont="1" applyBorder="1" applyAlignment="1">
      <alignment horizontal="center"/>
    </xf>
    <xf numFmtId="0" fontId="1" fillId="0" borderId="5" xfId="0" applyFont="1" applyBorder="1"/>
    <xf numFmtId="164" fontId="10" fillId="0" borderId="0" xfId="1" applyNumberFormat="1" applyFont="1" applyFill="1" applyBorder="1"/>
    <xf numFmtId="44" fontId="11" fillId="0" borderId="0" xfId="2" applyFont="1" applyBorder="1"/>
    <xf numFmtId="164" fontId="3" fillId="0" borderId="0" xfId="1" applyNumberFormat="1" applyFont="1" applyBorder="1"/>
    <xf numFmtId="9" fontId="10" fillId="0" borderId="0" xfId="2" applyNumberFormat="1" applyFont="1"/>
    <xf numFmtId="5" fontId="3" fillId="0" borderId="0" xfId="2" applyNumberFormat="1" applyFont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/>
    <xf numFmtId="9" fontId="7" fillId="0" borderId="0" xfId="3" applyFont="1" applyBorder="1" applyAlignment="1">
      <alignment horizontal="center"/>
    </xf>
    <xf numFmtId="9" fontId="7" fillId="0" borderId="0" xfId="3" applyFont="1" applyBorder="1" applyAlignment="1">
      <alignment horizontal="right"/>
    </xf>
    <xf numFmtId="9" fontId="7" fillId="0" borderId="19" xfId="3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4" fontId="7" fillId="0" borderId="0" xfId="0" applyNumberFormat="1" applyFont="1" applyAlignment="1"/>
    <xf numFmtId="0" fontId="0" fillId="0" borderId="0" xfId="0" applyFill="1" applyBorder="1" applyAlignment="1"/>
    <xf numFmtId="3" fontId="16" fillId="0" borderId="0" xfId="1" applyNumberFormat="1" applyFont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 applyAlignment="1">
      <alignment horizontal="right"/>
    </xf>
    <xf numFmtId="3" fontId="0" fillId="0" borderId="1" xfId="0" applyNumberFormat="1" applyFill="1" applyBorder="1"/>
    <xf numFmtId="9" fontId="0" fillId="0" borderId="0" xfId="0" applyNumberFormat="1" applyFill="1"/>
    <xf numFmtId="9" fontId="0" fillId="0" borderId="0" xfId="0" applyNumberFormat="1" applyFill="1" applyBorder="1"/>
    <xf numFmtId="43" fontId="6" fillId="0" borderId="0" xfId="1" applyFont="1" applyFill="1"/>
    <xf numFmtId="164" fontId="6" fillId="0" borderId="0" xfId="1" applyNumberFormat="1" applyFont="1" applyFill="1"/>
    <xf numFmtId="10" fontId="15" fillId="0" borderId="0" xfId="3" applyNumberFormat="1" applyFont="1" applyFill="1"/>
    <xf numFmtId="165" fontId="0" fillId="0" borderId="0" xfId="0" applyNumberFormat="1" applyFill="1"/>
    <xf numFmtId="44" fontId="0" fillId="0" borderId="0" xfId="2" applyFont="1" applyFill="1"/>
    <xf numFmtId="10" fontId="15" fillId="0" borderId="0" xfId="3" applyNumberFormat="1" applyFont="1"/>
    <xf numFmtId="2" fontId="15" fillId="0" borderId="0" xfId="0" applyNumberFormat="1" applyFont="1" applyAlignment="1">
      <alignment horizontal="center"/>
    </xf>
    <xf numFmtId="0" fontId="17" fillId="0" borderId="0" xfId="0" applyFont="1"/>
    <xf numFmtId="10" fontId="17" fillId="0" borderId="0" xfId="0" applyNumberFormat="1" applyFont="1"/>
    <xf numFmtId="43" fontId="18" fillId="0" borderId="0" xfId="1" applyFont="1" applyFill="1"/>
    <xf numFmtId="164" fontId="18" fillId="0" borderId="0" xfId="1" applyNumberFormat="1" applyFont="1" applyFill="1"/>
    <xf numFmtId="0" fontId="19" fillId="0" borderId="0" xfId="0" applyFont="1"/>
    <xf numFmtId="0" fontId="20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3" fontId="1" fillId="0" borderId="0" xfId="1" applyNumberFormat="1" applyFont="1" applyBorder="1"/>
    <xf numFmtId="0" fontId="0" fillId="0" borderId="0" xfId="0" applyAlignment="1"/>
    <xf numFmtId="0" fontId="0" fillId="0" borderId="0" xfId="0" applyBorder="1" applyAlignment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3" fontId="0" fillId="0" borderId="0" xfId="1" applyNumberFormat="1" applyFont="1" applyFill="1" applyBorder="1"/>
    <xf numFmtId="3" fontId="0" fillId="0" borderId="0" xfId="0" applyNumberFormat="1" applyAlignment="1"/>
    <xf numFmtId="0" fontId="0" fillId="0" borderId="0" xfId="0" applyAlignment="1"/>
    <xf numFmtId="0" fontId="0" fillId="0" borderId="0" xfId="0"/>
    <xf numFmtId="168" fontId="0" fillId="0" borderId="0" xfId="0" applyNumberFormat="1" applyAlignment="1"/>
    <xf numFmtId="0" fontId="0" fillId="0" borderId="0" xfId="0" applyFill="1" applyAlignment="1"/>
    <xf numFmtId="0" fontId="20" fillId="0" borderId="0" xfId="0" applyFont="1" applyFill="1" applyAlignment="1"/>
    <xf numFmtId="0" fontId="0" fillId="0" borderId="0" xfId="0" applyFill="1" applyAlignment="1">
      <alignment horizontal="center"/>
    </xf>
    <xf numFmtId="164" fontId="14" fillId="0" borderId="0" xfId="0" applyNumberFormat="1" applyFont="1" applyFill="1" applyBorder="1" applyProtection="1">
      <protection locked="0" hidden="1"/>
    </xf>
    <xf numFmtId="0" fontId="0" fillId="0" borderId="0" xfId="0" applyAlignment="1"/>
    <xf numFmtId="0" fontId="3" fillId="0" borderId="0" xfId="0" applyFont="1" applyAlignment="1"/>
    <xf numFmtId="0" fontId="0" fillId="0" borderId="0" xfId="0"/>
    <xf numFmtId="0" fontId="3" fillId="0" borderId="1" xfId="0" applyFont="1" applyBorder="1"/>
    <xf numFmtId="168" fontId="3" fillId="0" borderId="1" xfId="1" applyNumberFormat="1" applyFont="1" applyBorder="1"/>
    <xf numFmtId="0" fontId="3" fillId="0" borderId="0" xfId="0" applyFont="1" applyBorder="1"/>
    <xf numFmtId="168" fontId="3" fillId="0" borderId="0" xfId="1" applyNumberFormat="1" applyFont="1" applyBorder="1"/>
    <xf numFmtId="10" fontId="3" fillId="0" borderId="0" xfId="3" applyNumberFormat="1" applyFont="1"/>
    <xf numFmtId="2" fontId="3" fillId="0" borderId="0" xfId="0" applyNumberFormat="1" applyFont="1"/>
    <xf numFmtId="43" fontId="3" fillId="0" borderId="0" xfId="1" applyFont="1" applyFill="1"/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/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3" fontId="16" fillId="0" borderId="0" xfId="1" applyNumberFormat="1" applyFont="1" applyBorder="1" applyAlignment="1">
      <alignment horizontal="center"/>
    </xf>
    <xf numFmtId="168" fontId="3" fillId="0" borderId="11" xfId="3" applyNumberFormat="1" applyBorder="1"/>
    <xf numFmtId="166" fontId="0" fillId="0" borderId="0" xfId="2" applyNumberFormat="1" applyFont="1" applyBorder="1"/>
    <xf numFmtId="9" fontId="0" fillId="0" borderId="11" xfId="3" applyFont="1" applyBorder="1"/>
    <xf numFmtId="9" fontId="0" fillId="0" borderId="0" xfId="3" applyNumberFormat="1" applyFont="1" applyBorder="1"/>
    <xf numFmtId="9" fontId="0" fillId="0" borderId="0" xfId="3" applyFont="1" applyBorder="1"/>
    <xf numFmtId="166" fontId="0" fillId="0" borderId="11" xfId="2" applyNumberFormat="1" applyFont="1" applyBorder="1"/>
    <xf numFmtId="165" fontId="0" fillId="0" borderId="0" xfId="3" applyNumberFormat="1" applyFont="1" applyBorder="1"/>
    <xf numFmtId="10" fontId="0" fillId="0" borderId="11" xfId="3" applyNumberFormat="1" applyFont="1" applyBorder="1"/>
    <xf numFmtId="10" fontId="0" fillId="0" borderId="0" xfId="3" applyNumberFormat="1" applyFont="1" applyBorder="1"/>
    <xf numFmtId="165" fontId="0" fillId="0" borderId="11" xfId="0" applyNumberFormat="1" applyBorder="1"/>
    <xf numFmtId="165" fontId="0" fillId="0" borderId="0" xfId="0" applyNumberFormat="1" applyBorder="1"/>
    <xf numFmtId="3" fontId="1" fillId="0" borderId="21" xfId="1" applyNumberFormat="1" applyFont="1" applyFill="1" applyBorder="1"/>
    <xf numFmtId="3" fontId="0" fillId="0" borderId="12" xfId="1" applyNumberFormat="1" applyFont="1" applyFill="1" applyBorder="1"/>
    <xf numFmtId="3" fontId="0" fillId="0" borderId="0" xfId="0" applyNumberFormat="1" applyBorder="1"/>
    <xf numFmtId="9" fontId="0" fillId="0" borderId="11" xfId="0" applyNumberFormat="1" applyBorder="1"/>
    <xf numFmtId="9" fontId="0" fillId="0" borderId="0" xfId="0" applyNumberFormat="1" applyBorder="1"/>
    <xf numFmtId="3" fontId="1" fillId="0" borderId="22" xfId="0" applyNumberFormat="1" applyFont="1" applyBorder="1"/>
    <xf numFmtId="3" fontId="1" fillId="0" borderId="1" xfId="0" applyNumberFormat="1" applyFont="1" applyBorder="1"/>
    <xf numFmtId="0" fontId="4" fillId="0" borderId="5" xfId="0" applyFont="1" applyBorder="1" applyAlignment="1"/>
    <xf numFmtId="0" fontId="4" fillId="0" borderId="12" xfId="0" applyFont="1" applyFill="1" applyBorder="1" applyAlignment="1">
      <alignment horizontal="center" wrapText="1"/>
    </xf>
    <xf numFmtId="0" fontId="0" fillId="0" borderId="12" xfId="0" applyFill="1" applyBorder="1"/>
    <xf numFmtId="3" fontId="1" fillId="0" borderId="17" xfId="1" applyNumberFormat="1" applyFont="1" applyFill="1" applyBorder="1"/>
    <xf numFmtId="3" fontId="1" fillId="0" borderId="20" xfId="1" applyNumberFormat="1" applyFont="1" applyFill="1" applyBorder="1"/>
    <xf numFmtId="3" fontId="0" fillId="0" borderId="12" xfId="0" applyNumberFormat="1" applyFill="1" applyBorder="1"/>
    <xf numFmtId="3" fontId="1" fillId="0" borderId="23" xfId="1" applyNumberFormat="1" applyFont="1" applyFill="1" applyBorder="1"/>
    <xf numFmtId="0" fontId="4" fillId="0" borderId="11" xfId="0" applyFont="1" applyBorder="1" applyAlignment="1">
      <alignment horizontal="center" wrapText="1"/>
    </xf>
    <xf numFmtId="0" fontId="4" fillId="0" borderId="12" xfId="0" applyFont="1" applyBorder="1"/>
    <xf numFmtId="168" fontId="3" fillId="0" borderId="11" xfId="1" applyNumberFormat="1" applyFont="1" applyBorder="1"/>
    <xf numFmtId="168" fontId="0" fillId="0" borderId="12" xfId="1" applyNumberFormat="1" applyFont="1" applyBorder="1"/>
    <xf numFmtId="168" fontId="3" fillId="0" borderId="12" xfId="1" applyNumberFormat="1" applyFont="1" applyBorder="1"/>
    <xf numFmtId="168" fontId="3" fillId="0" borderId="8" xfId="1" applyNumberFormat="1" applyFont="1" applyBorder="1"/>
    <xf numFmtId="168" fontId="3" fillId="0" borderId="9" xfId="1" applyNumberFormat="1" applyFont="1" applyBorder="1"/>
    <xf numFmtId="168" fontId="1" fillId="0" borderId="11" xfId="1" applyNumberFormat="1" applyFont="1" applyBorder="1"/>
    <xf numFmtId="168" fontId="1" fillId="0" borderId="0" xfId="1" applyNumberFormat="1" applyFont="1" applyBorder="1"/>
    <xf numFmtId="168" fontId="1" fillId="0" borderId="12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8" fontId="1" fillId="0" borderId="0" xfId="0" applyNumberFormat="1" applyFont="1" applyBorder="1"/>
    <xf numFmtId="168" fontId="1" fillId="0" borderId="12" xfId="0" applyNumberFormat="1" applyFont="1" applyBorder="1"/>
    <xf numFmtId="0" fontId="0" fillId="0" borderId="9" xfId="0" applyBorder="1"/>
    <xf numFmtId="0" fontId="4" fillId="0" borderId="0" xfId="0" applyFont="1" applyAlignment="1"/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/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6" fontId="0" fillId="0" borderId="8" xfId="0" applyNumberFormat="1" applyBorder="1"/>
    <xf numFmtId="0" fontId="0" fillId="0" borderId="6" xfId="0" applyBorder="1"/>
    <xf numFmtId="0" fontId="4" fillId="0" borderId="14" xfId="0" applyFont="1" applyBorder="1" applyAlignment="1">
      <alignment horizontal="center" wrapText="1"/>
    </xf>
    <xf numFmtId="0" fontId="1" fillId="0" borderId="13" xfId="0" applyFont="1" applyBorder="1"/>
    <xf numFmtId="0" fontId="0" fillId="0" borderId="0" xfId="0"/>
    <xf numFmtId="168" fontId="3" fillId="0" borderId="0" xfId="1" applyNumberFormat="1" applyFont="1" applyBorder="1" applyAlignment="1">
      <alignment horizontal="center"/>
    </xf>
    <xf numFmtId="0" fontId="3" fillId="0" borderId="0" xfId="0" applyFont="1" applyFill="1"/>
    <xf numFmtId="6" fontId="0" fillId="0" borderId="11" xfId="0" applyNumberFormat="1" applyFill="1" applyBorder="1"/>
    <xf numFmtId="168" fontId="3" fillId="0" borderId="11" xfId="1" applyNumberFormat="1" applyFont="1" applyFill="1" applyBorder="1"/>
    <xf numFmtId="168" fontId="0" fillId="0" borderId="0" xfId="1" applyNumberFormat="1" applyFont="1" applyFill="1" applyBorder="1"/>
    <xf numFmtId="168" fontId="3" fillId="0" borderId="0" xfId="1" applyNumberFormat="1" applyFont="1" applyFill="1" applyBorder="1" applyAlignment="1">
      <alignment horizontal="center"/>
    </xf>
    <xf numFmtId="168" fontId="3" fillId="0" borderId="0" xfId="1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168" fontId="3" fillId="0" borderId="8" xfId="1" applyNumberFormat="1" applyFont="1" applyFill="1" applyBorder="1"/>
    <xf numFmtId="168" fontId="3" fillId="0" borderId="1" xfId="1" applyNumberFormat="1" applyFont="1" applyFill="1" applyBorder="1"/>
    <xf numFmtId="44" fontId="0" fillId="0" borderId="0" xfId="2" applyFont="1" applyBorder="1"/>
    <xf numFmtId="44" fontId="0" fillId="0" borderId="12" xfId="2" applyFont="1" applyBorder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10" fontId="4" fillId="0" borderId="0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 wrapText="1"/>
    </xf>
    <xf numFmtId="166" fontId="0" fillId="0" borderId="0" xfId="2" applyNumberFormat="1" applyFont="1"/>
    <xf numFmtId="166" fontId="1" fillId="0" borderId="18" xfId="2" applyNumberFormat="1" applyFont="1" applyBorder="1"/>
    <xf numFmtId="166" fontId="1" fillId="0" borderId="0" xfId="2" applyNumberFormat="1" applyFont="1" applyBorder="1"/>
    <xf numFmtId="166" fontId="1" fillId="0" borderId="22" xfId="2" applyNumberFormat="1" applyFont="1" applyBorder="1"/>
    <xf numFmtId="166" fontId="1" fillId="0" borderId="1" xfId="2" applyNumberFormat="1" applyFont="1" applyBorder="1"/>
    <xf numFmtId="166" fontId="0" fillId="0" borderId="0" xfId="2" applyNumberFormat="1" applyFont="1" applyFill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/>
    <xf numFmtId="0" fontId="4" fillId="0" borderId="6" xfId="0" applyFont="1" applyBorder="1" applyAlignment="1">
      <alignment horizontal="center"/>
    </xf>
    <xf numFmtId="0" fontId="0" fillId="0" borderId="0" xfId="0" applyAlignment="1"/>
    <xf numFmtId="168" fontId="0" fillId="0" borderId="0" xfId="0" applyNumberFormat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1" applyNumberFormat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Neighborhood%20Housing%20Development/Operations/Procedures/Underwriting/RENT&amp;I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&amp; Income limits"/>
      <sheetName val="Inc. Calc sheet"/>
      <sheetName val="RENT&amp;INC"/>
    </sheetNames>
    <sheetDataSet>
      <sheetData sheetId="0">
        <row r="1">
          <cell r="A1" t="e">
            <v>#N/A</v>
          </cell>
        </row>
        <row r="2">
          <cell r="A2" t="str">
            <v>Household Size</v>
          </cell>
          <cell r="B2" t="str">
            <v>(5)   HOME                       30% of
median income</v>
          </cell>
          <cell r="C2" t="str">
            <v>(1) CDBG                      30% of
median income</v>
          </cell>
          <cell r="D2" t="str">
            <v>(1) CDBG                          50% of
median income</v>
          </cell>
          <cell r="E2" t="str">
            <v>(5) HOME
60% of
median income</v>
          </cell>
          <cell r="F2" t="str">
            <v>(2)
CDBG  Moderate Income: 80% of
median income</v>
          </cell>
        </row>
        <row r="3">
          <cell r="A3" t="str">
            <v>1 person</v>
          </cell>
          <cell r="B3">
            <v>20700</v>
          </cell>
          <cell r="C3">
            <v>20700</v>
          </cell>
          <cell r="D3">
            <v>34500</v>
          </cell>
          <cell r="E3">
            <v>41400</v>
          </cell>
          <cell r="F3">
            <v>48800</v>
          </cell>
        </row>
        <row r="4">
          <cell r="A4" t="str">
            <v>2 persons</v>
          </cell>
          <cell r="B4">
            <v>23650</v>
          </cell>
          <cell r="C4">
            <v>23650</v>
          </cell>
          <cell r="D4">
            <v>39400</v>
          </cell>
          <cell r="E4">
            <v>47280</v>
          </cell>
          <cell r="F4">
            <v>55800</v>
          </cell>
        </row>
        <row r="5">
          <cell r="A5" t="str">
            <v>3 persons</v>
          </cell>
          <cell r="B5">
            <v>26600</v>
          </cell>
          <cell r="C5">
            <v>26600</v>
          </cell>
          <cell r="D5">
            <v>44350</v>
          </cell>
          <cell r="E5">
            <v>53220</v>
          </cell>
          <cell r="F5">
            <v>62750</v>
          </cell>
        </row>
        <row r="6">
          <cell r="A6" t="str">
            <v>4 persons</v>
          </cell>
          <cell r="B6">
            <v>29550</v>
          </cell>
          <cell r="C6">
            <v>29550</v>
          </cell>
          <cell r="D6">
            <v>49250</v>
          </cell>
          <cell r="E6">
            <v>59100</v>
          </cell>
          <cell r="F6">
            <v>69700</v>
          </cell>
        </row>
        <row r="7">
          <cell r="A7" t="str">
            <v>5 persons</v>
          </cell>
          <cell r="B7">
            <v>31950</v>
          </cell>
          <cell r="C7">
            <v>31950</v>
          </cell>
          <cell r="D7">
            <v>53200</v>
          </cell>
          <cell r="E7">
            <v>63840</v>
          </cell>
          <cell r="F7">
            <v>75300</v>
          </cell>
        </row>
        <row r="8">
          <cell r="A8" t="str">
            <v>6 persons</v>
          </cell>
          <cell r="B8">
            <v>34300</v>
          </cell>
          <cell r="C8">
            <v>34300</v>
          </cell>
          <cell r="D8">
            <v>57150</v>
          </cell>
          <cell r="E8">
            <v>68580</v>
          </cell>
          <cell r="F8">
            <v>80900</v>
          </cell>
        </row>
        <row r="9">
          <cell r="A9" t="str">
            <v>7 persons</v>
          </cell>
          <cell r="B9">
            <v>36650</v>
          </cell>
          <cell r="C9">
            <v>36730</v>
          </cell>
          <cell r="D9">
            <v>61100</v>
          </cell>
          <cell r="E9">
            <v>73320</v>
          </cell>
          <cell r="F9">
            <v>86450</v>
          </cell>
        </row>
        <row r="10">
          <cell r="A10" t="str">
            <v>8 persons</v>
          </cell>
          <cell r="B10">
            <v>39050</v>
          </cell>
          <cell r="C10">
            <v>40890</v>
          </cell>
          <cell r="D10">
            <v>65050</v>
          </cell>
          <cell r="E10">
            <v>78060</v>
          </cell>
          <cell r="F10">
            <v>92050</v>
          </cell>
        </row>
        <row r="12">
          <cell r="A12" t="str">
            <v>(1)  Issued by HUD effective March 6, 2015, and calculated in accordance with the IRS guidelines for consistency with HOME &amp; LIHTC Programs.</v>
          </cell>
        </row>
        <row r="13">
          <cell r="A13" t="str">
            <v>(2) Income limits provided by HUD - March 6, 2015.</v>
          </cell>
        </row>
        <row r="14">
          <cell r="A14" t="e">
            <v>#N/A</v>
          </cell>
        </row>
        <row r="15">
          <cell r="A15" t="e">
            <v>#N/A</v>
          </cell>
        </row>
        <row r="16">
          <cell r="A16" t="e">
            <v>#N/A</v>
          </cell>
        </row>
        <row r="18">
          <cell r="A18" t="str">
            <v>Monthly Rent Limits</v>
          </cell>
        </row>
        <row r="19">
          <cell r="A19" t="str">
            <v>Bedroom Size</v>
          </cell>
          <cell r="B19" t="str">
            <v>HOME Homeless
Set-Aside
(30% of median)</v>
          </cell>
          <cell r="C19" t="str">
            <v>(1)
Low HOME
(50% of median)</v>
          </cell>
          <cell r="D19" t="str">
            <v>(1)
High HOME
(65% of median)</v>
          </cell>
          <cell r="E19" t="str">
            <v xml:space="preserve"> (7) DHCD LIHTC
(50% of median)</v>
          </cell>
          <cell r="F19" t="str">
            <v>(7) DHCD LIHTC
(60% of median)</v>
          </cell>
        </row>
        <row r="20">
          <cell r="A20" t="str">
            <v>SRO</v>
          </cell>
          <cell r="B20">
            <v>388.125</v>
          </cell>
          <cell r="C20">
            <v>646.5</v>
          </cell>
          <cell r="D20">
            <v>835.5</v>
          </cell>
        </row>
        <row r="21">
          <cell r="A21" t="str">
            <v>0 BR/Eff.</v>
          </cell>
          <cell r="B21">
            <v>517.5</v>
          </cell>
          <cell r="C21">
            <v>862</v>
          </cell>
          <cell r="D21">
            <v>1114</v>
          </cell>
          <cell r="E21">
            <v>862</v>
          </cell>
          <cell r="F21">
            <v>1035</v>
          </cell>
        </row>
        <row r="22">
          <cell r="A22" t="str">
            <v>1-BR</v>
          </cell>
          <cell r="B22">
            <v>554.375</v>
          </cell>
          <cell r="C22">
            <v>923</v>
          </cell>
          <cell r="D22">
            <v>1194</v>
          </cell>
          <cell r="E22">
            <v>923</v>
          </cell>
          <cell r="F22">
            <v>1108</v>
          </cell>
        </row>
        <row r="23">
          <cell r="A23" t="str">
            <v>2-BR</v>
          </cell>
          <cell r="B23">
            <v>664.99999999999989</v>
          </cell>
          <cell r="C23">
            <v>1108</v>
          </cell>
          <cell r="D23">
            <v>1436</v>
          </cell>
          <cell r="E23">
            <v>1108</v>
          </cell>
          <cell r="F23">
            <v>1330</v>
          </cell>
        </row>
        <row r="24">
          <cell r="A24" t="str">
            <v>3-BR</v>
          </cell>
          <cell r="B24">
            <v>768.75</v>
          </cell>
          <cell r="C24">
            <v>1280</v>
          </cell>
          <cell r="D24">
            <v>1650</v>
          </cell>
          <cell r="E24">
            <v>1280</v>
          </cell>
          <cell r="F24">
            <v>1536</v>
          </cell>
        </row>
        <row r="25">
          <cell r="A25" t="str">
            <v>4-BR</v>
          </cell>
          <cell r="B25">
            <v>916.24999999999989</v>
          </cell>
          <cell r="C25">
            <v>1428</v>
          </cell>
          <cell r="D25">
            <v>1821</v>
          </cell>
          <cell r="E25">
            <v>1428</v>
          </cell>
          <cell r="F25">
            <v>1714</v>
          </cell>
        </row>
        <row r="26">
          <cell r="A26" t="str">
            <v>5-BR</v>
          </cell>
          <cell r="B26">
            <v>946.25</v>
          </cell>
          <cell r="C26">
            <v>1576</v>
          </cell>
          <cell r="D26">
            <v>1991</v>
          </cell>
          <cell r="E26">
            <v>1576</v>
          </cell>
          <cell r="F26">
            <v>1892</v>
          </cell>
        </row>
        <row r="27">
          <cell r="A27" t="e">
            <v>#N/A</v>
          </cell>
        </row>
        <row r="28">
          <cell r="A28" t="str">
            <v>(2) As issued by City of Boston affordable rent statement</v>
          </cell>
        </row>
        <row r="29">
          <cell r="A29" t="str">
            <v>(3) As issued by HUD effective 10/1/14</v>
          </cell>
        </row>
        <row r="30">
          <cell r="A30" t="str">
            <v>(5) as set by BRA dated 2015</v>
          </cell>
        </row>
        <row r="31">
          <cell r="A31" t="str">
            <v>(6) Maximum NSP Rents at 120% AMI</v>
          </cell>
        </row>
        <row r="32">
          <cell r="A32" t="str">
            <v xml:space="preserve">(7) As issued by HUD effective 3/6/15.  For units in service prior to 3/6/15, use calculator at http://www.novoco.com/tenant/rentincome/calculator/z2.jsp </v>
          </cell>
        </row>
        <row r="34">
          <cell r="A34" t="e">
            <v>#N/A</v>
          </cell>
        </row>
        <row r="35">
          <cell r="E35" t="str">
            <v>SRO/0 BR</v>
          </cell>
          <cell r="F35" t="str">
            <v>1BR</v>
          </cell>
        </row>
        <row r="36">
          <cell r="A36" t="str">
            <v>Gas</v>
          </cell>
          <cell r="B36" t="str">
            <v>Single Family</v>
          </cell>
          <cell r="E36" t="e">
            <v>#N/A</v>
          </cell>
          <cell r="F36">
            <v>56</v>
          </cell>
        </row>
        <row r="37">
          <cell r="A37" t="str">
            <v>Heat</v>
          </cell>
          <cell r="B37" t="str">
            <v>Duplex, 3 Decker</v>
          </cell>
          <cell r="E37" t="str">
            <v>29/38</v>
          </cell>
          <cell r="F37">
            <v>48</v>
          </cell>
        </row>
        <row r="38">
          <cell r="B38" t="str">
            <v>Garden, Row/Townhouse</v>
          </cell>
          <cell r="E38" t="str">
            <v>23/31</v>
          </cell>
          <cell r="F38">
            <v>41</v>
          </cell>
        </row>
        <row r="39">
          <cell r="B39" t="str">
            <v>Elevator/Highrise</v>
          </cell>
          <cell r="E39" t="str">
            <v>24/32</v>
          </cell>
          <cell r="F39">
            <v>36</v>
          </cell>
        </row>
        <row r="40">
          <cell r="A40" t="str">
            <v>Oil</v>
          </cell>
          <cell r="B40" t="str">
            <v>Single Family</v>
          </cell>
          <cell r="E40" t="str">
            <v>76/101</v>
          </cell>
          <cell r="F40">
            <v>137</v>
          </cell>
        </row>
        <row r="41">
          <cell r="A41" t="str">
            <v>Heat</v>
          </cell>
          <cell r="B41" t="str">
            <v>Duplex, 3 Decker</v>
          </cell>
          <cell r="E41" t="str">
            <v>70/93</v>
          </cell>
          <cell r="F41">
            <v>120</v>
          </cell>
        </row>
        <row r="42">
          <cell r="B42" t="str">
            <v>Garden, Row/Townhouse</v>
          </cell>
          <cell r="E42" t="str">
            <v>58/77</v>
          </cell>
          <cell r="F42">
            <v>103</v>
          </cell>
        </row>
        <row r="43">
          <cell r="B43" t="str">
            <v>Elevator/Highrise</v>
          </cell>
        </row>
        <row r="44">
          <cell r="A44" t="str">
            <v>Electric</v>
          </cell>
          <cell r="B44" t="str">
            <v>Single Family</v>
          </cell>
          <cell r="E44" t="str">
            <v>56/74</v>
          </cell>
          <cell r="F44">
            <v>100</v>
          </cell>
        </row>
        <row r="45">
          <cell r="A45" t="str">
            <v>Heat</v>
          </cell>
          <cell r="B45" t="str">
            <v>Duplex, 3 Decker</v>
          </cell>
          <cell r="E45" t="str">
            <v>51/68</v>
          </cell>
          <cell r="F45">
            <v>87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zoomScaleNormal="100" zoomScaleSheetLayoutView="100" workbookViewId="0">
      <selection activeCell="E3" sqref="E3"/>
    </sheetView>
  </sheetViews>
  <sheetFormatPr defaultRowHeight="13.2" x14ac:dyDescent="0.25"/>
  <cols>
    <col min="1" max="1" width="34.109375" customWidth="1"/>
    <col min="2" max="2" width="6.6640625" customWidth="1"/>
    <col min="3" max="3" width="13.5546875" customWidth="1"/>
    <col min="4" max="4" width="6.5546875" customWidth="1"/>
    <col min="5" max="5" width="14" bestFit="1" customWidth="1"/>
    <col min="6" max="6" width="5.5546875" style="164" customWidth="1"/>
    <col min="7" max="7" width="12.44140625" style="164" customWidth="1"/>
    <col min="8" max="8" width="5.44140625" style="160" customWidth="1"/>
    <col min="9" max="9" width="13.5546875" customWidth="1"/>
    <col min="10" max="10" width="6.109375" customWidth="1"/>
    <col min="11" max="11" width="13" customWidth="1"/>
    <col min="12" max="12" width="6.109375" style="164" customWidth="1"/>
    <col min="13" max="13" width="13.88671875" style="164" customWidth="1"/>
    <col min="14" max="14" width="13.88671875" style="167" customWidth="1"/>
    <col min="15" max="15" width="13.44140625" style="22" customWidth="1"/>
    <col min="16" max="16" width="31.5546875" customWidth="1"/>
    <col min="17" max="17" width="11.33203125" customWidth="1"/>
    <col min="19" max="19" width="10.88671875" bestFit="1" customWidth="1"/>
  </cols>
  <sheetData>
    <row r="1" spans="1:19" x14ac:dyDescent="0.25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73"/>
      <c r="P1" s="137">
        <f ca="1">NOW()</f>
        <v>43010.510585995369</v>
      </c>
      <c r="S1" s="7"/>
    </row>
    <row r="2" spans="1:19" x14ac:dyDescent="0.25">
      <c r="A2" s="1" t="s">
        <v>1</v>
      </c>
      <c r="B2" s="1"/>
      <c r="C2" s="1"/>
      <c r="D2" s="1"/>
      <c r="E2" s="1"/>
      <c r="F2" s="1"/>
      <c r="G2" s="1"/>
      <c r="H2" s="1"/>
      <c r="I2" s="158"/>
      <c r="J2" s="158"/>
      <c r="K2" s="158"/>
      <c r="L2" s="158"/>
      <c r="M2" s="158"/>
      <c r="N2" s="158"/>
      <c r="O2" s="174"/>
      <c r="P2" s="15"/>
    </row>
    <row r="3" spans="1:19" s="179" customFormat="1" x14ac:dyDescent="0.25">
      <c r="A3" s="1"/>
      <c r="B3" s="1"/>
      <c r="C3" s="106"/>
      <c r="D3" s="1"/>
      <c r="E3" s="158" t="s">
        <v>201</v>
      </c>
      <c r="F3" s="1"/>
      <c r="G3" s="1"/>
      <c r="H3" s="1"/>
      <c r="I3" s="1"/>
      <c r="J3" s="1"/>
      <c r="K3" s="1"/>
      <c r="L3" s="1"/>
      <c r="M3" s="1"/>
      <c r="N3" s="1"/>
      <c r="O3" s="173"/>
      <c r="P3" s="177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x14ac:dyDescent="0.25">
      <c r="A5" s="280" t="s">
        <v>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40"/>
    </row>
    <row r="6" spans="1:19" s="190" customFormat="1" x14ac:dyDescent="0.25">
      <c r="A6" s="188"/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18"/>
      <c r="M6" s="218"/>
      <c r="N6" s="218"/>
      <c r="O6" s="245"/>
      <c r="P6" s="189"/>
    </row>
    <row r="7" spans="1:19" s="167" customFormat="1" x14ac:dyDescent="0.25">
      <c r="A7" s="165" t="s">
        <v>160</v>
      </c>
      <c r="B7" s="191"/>
      <c r="C7" s="192">
        <f>SUM(E7:K7)</f>
        <v>0</v>
      </c>
      <c r="D7" s="192"/>
      <c r="E7" s="192">
        <v>0</v>
      </c>
      <c r="F7" s="192"/>
      <c r="G7" s="192">
        <v>0</v>
      </c>
      <c r="H7" s="192"/>
      <c r="I7" s="192">
        <f>'Ownership Sources'!E64</f>
        <v>0</v>
      </c>
      <c r="J7" s="192"/>
      <c r="K7" s="192">
        <f>'Ownership Sources'!F64</f>
        <v>0</v>
      </c>
      <c r="L7" s="77"/>
      <c r="M7" s="77"/>
      <c r="N7" s="77"/>
      <c r="O7" s="193"/>
      <c r="P7" s="166"/>
    </row>
    <row r="8" spans="1:19" ht="52.8" x14ac:dyDescent="0.25">
      <c r="A8" s="2" t="s">
        <v>5</v>
      </c>
      <c r="B8" s="194"/>
      <c r="C8" s="195" t="s">
        <v>145</v>
      </c>
      <c r="D8" s="136"/>
      <c r="E8" s="195" t="s">
        <v>163</v>
      </c>
      <c r="F8" s="195"/>
      <c r="G8" s="195" t="s">
        <v>202</v>
      </c>
      <c r="H8" s="195"/>
      <c r="I8" s="195" t="s">
        <v>164</v>
      </c>
      <c r="J8" s="195"/>
      <c r="K8" s="195" t="s">
        <v>158</v>
      </c>
      <c r="L8" s="195"/>
      <c r="M8" s="195" t="s">
        <v>146</v>
      </c>
      <c r="N8" s="195" t="s">
        <v>203</v>
      </c>
      <c r="O8" s="219" t="s">
        <v>157</v>
      </c>
      <c r="P8" s="159" t="s">
        <v>6</v>
      </c>
    </row>
    <row r="9" spans="1:19" s="269" customFormat="1" x14ac:dyDescent="0.25">
      <c r="A9" s="2"/>
      <c r="B9" s="194"/>
      <c r="C9" s="195"/>
      <c r="D9" s="136"/>
      <c r="E9" s="273"/>
      <c r="F9" s="195"/>
      <c r="G9" s="272"/>
      <c r="H9" s="195"/>
      <c r="I9" s="195"/>
      <c r="J9" s="195"/>
      <c r="K9" s="195"/>
      <c r="L9" s="195"/>
      <c r="M9" s="195"/>
      <c r="N9" s="195"/>
      <c r="O9" s="219"/>
      <c r="P9" s="268"/>
    </row>
    <row r="10" spans="1:19" x14ac:dyDescent="0.25">
      <c r="B10" s="197"/>
      <c r="C10" s="6"/>
      <c r="D10" s="6"/>
      <c r="F10" s="6"/>
      <c r="G10" s="6"/>
      <c r="H10" s="6"/>
      <c r="I10" s="6"/>
      <c r="J10" s="6"/>
      <c r="K10" s="6"/>
      <c r="L10" s="6"/>
      <c r="M10" s="6"/>
      <c r="N10" s="6"/>
      <c r="O10" s="220"/>
      <c r="P10" s="15"/>
      <c r="Q10" s="15"/>
      <c r="R10" s="15"/>
    </row>
    <row r="11" spans="1:19" x14ac:dyDescent="0.25">
      <c r="A11" t="s">
        <v>7</v>
      </c>
      <c r="B11" s="197"/>
      <c r="C11" s="101">
        <f>E11+G11+I11+K11+M11</f>
        <v>0</v>
      </c>
      <c r="D11" s="6"/>
      <c r="E11" s="274"/>
      <c r="F11" s="201"/>
      <c r="G11" s="201"/>
      <c r="H11" s="101"/>
      <c r="I11" s="101"/>
      <c r="J11" s="6"/>
      <c r="K11" s="101"/>
      <c r="L11" s="6"/>
      <c r="M11" s="101"/>
      <c r="N11" s="101" t="e">
        <f>E11/$E$7</f>
        <v>#DIV/0!</v>
      </c>
      <c r="O11" s="212" t="e">
        <f>(+C11+I11+K11)/$C$7</f>
        <v>#DIV/0!</v>
      </c>
      <c r="P11" s="15"/>
      <c r="Q11" s="15"/>
      <c r="R11" s="15"/>
    </row>
    <row r="12" spans="1:19" ht="13.8" thickBot="1" x14ac:dyDescent="0.3">
      <c r="A12" s="3" t="s">
        <v>8</v>
      </c>
      <c r="B12" s="197"/>
      <c r="C12" s="101">
        <f>E12+G12+I12+K12+M12</f>
        <v>0</v>
      </c>
      <c r="D12" s="6"/>
      <c r="E12" s="274"/>
      <c r="F12" s="201"/>
      <c r="G12" s="201"/>
      <c r="H12" s="101"/>
      <c r="I12" s="101"/>
      <c r="J12" s="6"/>
      <c r="K12" s="101"/>
      <c r="L12" s="6"/>
      <c r="M12" s="101"/>
      <c r="N12" s="101" t="e">
        <f>E12/$E$7</f>
        <v>#DIV/0!</v>
      </c>
      <c r="O12" s="212" t="e">
        <f>(+C12+I12+K12)/$C$7</f>
        <v>#DIV/0!</v>
      </c>
      <c r="P12" s="15"/>
      <c r="Q12" s="15"/>
      <c r="R12" s="15"/>
    </row>
    <row r="13" spans="1:19" ht="13.8" thickBot="1" x14ac:dyDescent="0.3">
      <c r="A13" s="1" t="s">
        <v>9</v>
      </c>
      <c r="B13" s="197"/>
      <c r="C13" s="100">
        <f>SUM(C11:C12)</f>
        <v>0</v>
      </c>
      <c r="D13" s="6"/>
      <c r="E13" s="275">
        <f>SUM(E11:E12)</f>
        <v>0</v>
      </c>
      <c r="F13" s="276"/>
      <c r="G13" s="275">
        <f>SUM(G11:G12)</f>
        <v>0</v>
      </c>
      <c r="H13" s="161"/>
      <c r="I13" s="100">
        <f>SUM(I11:I12)</f>
        <v>0</v>
      </c>
      <c r="J13" s="6"/>
      <c r="K13" s="100">
        <f>SUM(K11:K12)</f>
        <v>0</v>
      </c>
      <c r="L13" s="6"/>
      <c r="M13" s="100">
        <f>SUM(M11:M12)</f>
        <v>0</v>
      </c>
      <c r="N13" s="221" t="e">
        <f>SUM(N11:N12)</f>
        <v>#DIV/0!</v>
      </c>
      <c r="O13" s="211" t="e">
        <f>SUM(O11:O12)</f>
        <v>#DIV/0!</v>
      </c>
      <c r="P13" s="15"/>
      <c r="Q13" s="15"/>
      <c r="R13" s="15"/>
    </row>
    <row r="14" spans="1:19" x14ac:dyDescent="0.25">
      <c r="B14" s="197"/>
      <c r="C14" s="199"/>
      <c r="D14" s="6"/>
      <c r="E14" s="201"/>
      <c r="F14" s="201"/>
      <c r="G14" s="201"/>
      <c r="H14" s="101"/>
      <c r="I14" s="101"/>
      <c r="J14" s="6"/>
      <c r="K14" s="199"/>
      <c r="L14" s="6"/>
      <c r="M14" s="199"/>
      <c r="N14" s="199"/>
      <c r="O14" s="212"/>
      <c r="P14" s="15"/>
      <c r="Q14" s="15"/>
      <c r="R14" s="15"/>
    </row>
    <row r="15" spans="1:19" x14ac:dyDescent="0.25">
      <c r="A15" t="s">
        <v>10</v>
      </c>
      <c r="B15" s="200"/>
      <c r="C15" s="101">
        <f>E15+G15+I15+K15+M15</f>
        <v>0</v>
      </c>
      <c r="D15" s="201"/>
      <c r="E15" s="274"/>
      <c r="F15" s="201"/>
      <c r="G15" s="201"/>
      <c r="H15" s="101"/>
      <c r="I15" s="101"/>
      <c r="J15" s="201"/>
      <c r="K15" s="101"/>
      <c r="L15" s="201"/>
      <c r="M15" s="101"/>
      <c r="N15" s="101" t="e">
        <f>E15/$E$7</f>
        <v>#DIV/0!</v>
      </c>
      <c r="O15" s="212" t="e">
        <f>(+C15+I15+K15)/$C$7</f>
        <v>#DIV/0!</v>
      </c>
      <c r="P15" s="98"/>
      <c r="Q15" s="15"/>
      <c r="R15" s="15"/>
    </row>
    <row r="16" spans="1:19" ht="13.8" thickBot="1" x14ac:dyDescent="0.3">
      <c r="A16" t="s">
        <v>11</v>
      </c>
      <c r="B16" s="202" t="e">
        <f>C16/C15</f>
        <v>#DIV/0!</v>
      </c>
      <c r="C16" s="101">
        <f>E16+G16+I16+K16+M16</f>
        <v>0</v>
      </c>
      <c r="D16" s="203"/>
      <c r="E16" s="274"/>
      <c r="F16" s="201"/>
      <c r="G16" s="201"/>
      <c r="H16" s="204"/>
      <c r="I16" s="101"/>
      <c r="J16" s="204"/>
      <c r="K16" s="101"/>
      <c r="L16" s="204"/>
      <c r="M16" s="101"/>
      <c r="N16" s="101" t="e">
        <f>E16/$E$7</f>
        <v>#DIV/0!</v>
      </c>
      <c r="O16" s="212" t="e">
        <f>(+C16+I16+K16)/$C$7</f>
        <v>#DIV/0!</v>
      </c>
      <c r="P16" s="15"/>
      <c r="Q16" s="15"/>
      <c r="R16" s="15"/>
    </row>
    <row r="17" spans="1:18" ht="13.8" hidden="1" thickBot="1" x14ac:dyDescent="0.3">
      <c r="A17" t="s">
        <v>159</v>
      </c>
      <c r="B17" s="205"/>
      <c r="C17" s="101">
        <f>E17+G17+I17+K17+M17</f>
        <v>0</v>
      </c>
      <c r="D17" s="201"/>
      <c r="E17" s="201"/>
      <c r="F17" s="201"/>
      <c r="G17" s="201"/>
      <c r="H17" s="101"/>
      <c r="I17" s="101">
        <v>0</v>
      </c>
      <c r="J17" s="201"/>
      <c r="K17" s="101">
        <v>0</v>
      </c>
      <c r="L17" s="201"/>
      <c r="M17" s="101">
        <v>0</v>
      </c>
      <c r="N17" s="101"/>
      <c r="O17" s="212" t="e">
        <f>+E17/#REF!</f>
        <v>#REF!</v>
      </c>
      <c r="P17" s="15"/>
      <c r="Q17" s="15"/>
      <c r="R17" s="15"/>
    </row>
    <row r="18" spans="1:18" ht="13.8" hidden="1" thickBot="1" x14ac:dyDescent="0.3">
      <c r="A18" t="s">
        <v>123</v>
      </c>
      <c r="B18" s="205"/>
      <c r="C18" s="101">
        <f>E18+G18+I18+K18+M18</f>
        <v>0</v>
      </c>
      <c r="D18" s="201"/>
      <c r="E18" s="201"/>
      <c r="F18" s="201"/>
      <c r="G18" s="201"/>
      <c r="H18" s="101"/>
      <c r="I18" s="101">
        <v>0</v>
      </c>
      <c r="J18" s="201"/>
      <c r="K18" s="101">
        <v>0</v>
      </c>
      <c r="L18" s="201"/>
      <c r="M18" s="101">
        <v>0</v>
      </c>
      <c r="N18" s="101"/>
      <c r="O18" s="212" t="e">
        <f>+E18/#REF!</f>
        <v>#REF!</v>
      </c>
      <c r="P18" s="15"/>
      <c r="Q18" s="15"/>
      <c r="R18" s="15"/>
    </row>
    <row r="19" spans="1:18" ht="13.8" hidden="1" thickBot="1" x14ac:dyDescent="0.3">
      <c r="A19" t="s">
        <v>135</v>
      </c>
      <c r="B19" s="205"/>
      <c r="C19" s="101">
        <f>E19+G19+I19+K19+M19</f>
        <v>0</v>
      </c>
      <c r="D19" s="201"/>
      <c r="E19" s="201"/>
      <c r="F19" s="201"/>
      <c r="G19" s="201"/>
      <c r="H19" s="101"/>
      <c r="I19" s="101">
        <v>0</v>
      </c>
      <c r="J19" s="201"/>
      <c r="K19" s="101">
        <v>0</v>
      </c>
      <c r="L19" s="201"/>
      <c r="M19" s="101">
        <v>0</v>
      </c>
      <c r="N19" s="101"/>
      <c r="O19" s="212" t="e">
        <f>+E19/#REF!</f>
        <v>#REF!</v>
      </c>
      <c r="P19" s="15"/>
      <c r="Q19" s="15"/>
      <c r="R19" s="15"/>
    </row>
    <row r="20" spans="1:18" ht="13.8" thickBot="1" x14ac:dyDescent="0.3">
      <c r="A20" s="123" t="s">
        <v>12</v>
      </c>
      <c r="B20" s="197"/>
      <c r="C20" s="100">
        <f>SUM(C15:C19)</f>
        <v>0</v>
      </c>
      <c r="D20" s="6"/>
      <c r="E20" s="275">
        <f>SUM(E15:E19)</f>
        <v>0</v>
      </c>
      <c r="F20" s="276"/>
      <c r="G20" s="275">
        <f>SUM(G15:G19)</f>
        <v>0</v>
      </c>
      <c r="H20" s="161"/>
      <c r="I20" s="100">
        <f>SUM(I15:I19)</f>
        <v>0</v>
      </c>
      <c r="J20" s="6"/>
      <c r="K20" s="100">
        <f>SUM(K15:K19)</f>
        <v>0</v>
      </c>
      <c r="L20" s="6"/>
      <c r="M20" s="100">
        <f>SUM(M15:M19)</f>
        <v>0</v>
      </c>
      <c r="N20" s="221" t="e">
        <f>SUM(N15:N19)</f>
        <v>#DIV/0!</v>
      </c>
      <c r="O20" s="211" t="e">
        <f>SUM(O15:O16)</f>
        <v>#DIV/0!</v>
      </c>
      <c r="P20" s="15"/>
      <c r="Q20" s="15"/>
      <c r="R20" s="15"/>
    </row>
    <row r="21" spans="1:18" x14ac:dyDescent="0.25">
      <c r="B21" s="197"/>
      <c r="C21" s="199"/>
      <c r="D21" s="6"/>
      <c r="E21" s="201"/>
      <c r="F21" s="201"/>
      <c r="G21" s="201"/>
      <c r="H21" s="101"/>
      <c r="I21" s="101"/>
      <c r="J21" s="6"/>
      <c r="K21" s="199"/>
      <c r="L21" s="6"/>
      <c r="M21" s="199"/>
      <c r="N21" s="199"/>
      <c r="O21" s="212"/>
      <c r="P21" s="15"/>
      <c r="Q21" s="15"/>
      <c r="R21" s="15"/>
    </row>
    <row r="22" spans="1:18" x14ac:dyDescent="0.25">
      <c r="A22" t="s">
        <v>13</v>
      </c>
      <c r="B22" s="202"/>
      <c r="C22" s="101">
        <f t="shared" ref="C22:C52" si="0">E22+G22+I22+K22+M22</f>
        <v>0</v>
      </c>
      <c r="D22" s="206"/>
      <c r="E22" s="274"/>
      <c r="F22" s="201"/>
      <c r="G22" s="201"/>
      <c r="H22" s="101"/>
      <c r="I22" s="101"/>
      <c r="J22" s="206"/>
      <c r="K22" s="101"/>
      <c r="L22" s="206"/>
      <c r="M22" s="101"/>
      <c r="N22" s="101" t="e">
        <f t="shared" ref="N22:N50" si="1">E22/$E$7</f>
        <v>#DIV/0!</v>
      </c>
      <c r="O22" s="212" t="e">
        <f>(+E22+G22+I22+K22)/$C$7</f>
        <v>#DIV/0!</v>
      </c>
      <c r="P22" s="15"/>
      <c r="Q22" s="15"/>
      <c r="R22" s="15"/>
    </row>
    <row r="23" spans="1:18" x14ac:dyDescent="0.25">
      <c r="A23" t="s">
        <v>14</v>
      </c>
      <c r="B23" s="202"/>
      <c r="C23" s="101">
        <f t="shared" si="0"/>
        <v>0</v>
      </c>
      <c r="D23" s="6"/>
      <c r="E23" s="274"/>
      <c r="F23" s="201"/>
      <c r="G23" s="201"/>
      <c r="H23" s="101"/>
      <c r="I23" s="101"/>
      <c r="J23" s="6"/>
      <c r="K23" s="101"/>
      <c r="L23" s="6"/>
      <c r="M23" s="101"/>
      <c r="N23" s="101" t="e">
        <f t="shared" si="1"/>
        <v>#DIV/0!</v>
      </c>
      <c r="O23" s="212" t="e">
        <f t="shared" ref="O23:O52" si="2">(+E23+G23+I23+K23)/$C$7</f>
        <v>#DIV/0!</v>
      </c>
      <c r="P23" s="15"/>
      <c r="Q23" s="15"/>
      <c r="R23" s="15"/>
    </row>
    <row r="24" spans="1:18" x14ac:dyDescent="0.25">
      <c r="A24" t="s">
        <v>15</v>
      </c>
      <c r="B24" s="202"/>
      <c r="C24" s="101">
        <f t="shared" si="0"/>
        <v>0</v>
      </c>
      <c r="D24" s="6"/>
      <c r="E24" s="274"/>
      <c r="F24" s="201"/>
      <c r="G24" s="201"/>
      <c r="H24" s="101"/>
      <c r="I24" s="101"/>
      <c r="J24" s="6"/>
      <c r="K24" s="101"/>
      <c r="L24" s="6"/>
      <c r="M24" s="101"/>
      <c r="N24" s="101" t="e">
        <f t="shared" si="1"/>
        <v>#DIV/0!</v>
      </c>
      <c r="O24" s="212" t="e">
        <f t="shared" si="2"/>
        <v>#DIV/0!</v>
      </c>
      <c r="P24" s="15"/>
      <c r="Q24" s="15"/>
      <c r="R24" s="15"/>
    </row>
    <row r="25" spans="1:18" x14ac:dyDescent="0.25">
      <c r="A25" t="s">
        <v>16</v>
      </c>
      <c r="B25" s="202"/>
      <c r="C25" s="101">
        <f t="shared" si="0"/>
        <v>0</v>
      </c>
      <c r="D25" s="6"/>
      <c r="E25" s="274"/>
      <c r="F25" s="201"/>
      <c r="G25" s="201"/>
      <c r="H25" s="101"/>
      <c r="I25" s="101"/>
      <c r="J25" s="6"/>
      <c r="K25" s="101"/>
      <c r="L25" s="6"/>
      <c r="M25" s="101"/>
      <c r="N25" s="101" t="e">
        <f t="shared" si="1"/>
        <v>#DIV/0!</v>
      </c>
      <c r="O25" s="212" t="e">
        <f t="shared" si="2"/>
        <v>#DIV/0!</v>
      </c>
      <c r="P25" s="15"/>
      <c r="Q25" s="15"/>
      <c r="R25" s="15"/>
    </row>
    <row r="26" spans="1:18" x14ac:dyDescent="0.25">
      <c r="A26" t="s">
        <v>17</v>
      </c>
      <c r="B26" s="202"/>
      <c r="C26" s="101">
        <f t="shared" si="0"/>
        <v>0</v>
      </c>
      <c r="D26" s="6"/>
      <c r="E26" s="274"/>
      <c r="F26" s="201"/>
      <c r="G26" s="201"/>
      <c r="H26" s="101"/>
      <c r="I26" s="101"/>
      <c r="J26" s="6"/>
      <c r="K26" s="101"/>
      <c r="L26" s="6"/>
      <c r="M26" s="101"/>
      <c r="N26" s="101" t="e">
        <f t="shared" si="1"/>
        <v>#DIV/0!</v>
      </c>
      <c r="O26" s="212" t="e">
        <f t="shared" si="2"/>
        <v>#DIV/0!</v>
      </c>
      <c r="P26" s="178"/>
      <c r="Q26" s="15"/>
      <c r="R26" s="15"/>
    </row>
    <row r="27" spans="1:18" hidden="1" x14ac:dyDescent="0.25">
      <c r="A27" t="s">
        <v>60</v>
      </c>
      <c r="B27" s="197"/>
      <c r="C27" s="101">
        <f t="shared" si="0"/>
        <v>0</v>
      </c>
      <c r="D27" s="6"/>
      <c r="E27" s="274"/>
      <c r="F27" s="201"/>
      <c r="G27" s="201"/>
      <c r="H27" s="101"/>
      <c r="I27" s="101"/>
      <c r="J27" s="6"/>
      <c r="K27" s="101"/>
      <c r="L27" s="6"/>
      <c r="M27" s="101"/>
      <c r="N27" s="101" t="e">
        <f t="shared" si="1"/>
        <v>#DIV/0!</v>
      </c>
      <c r="O27" s="212" t="e">
        <f t="shared" si="2"/>
        <v>#DIV/0!</v>
      </c>
      <c r="P27" s="15"/>
      <c r="Q27" s="15"/>
      <c r="R27" s="15"/>
    </row>
    <row r="28" spans="1:18" x14ac:dyDescent="0.25">
      <c r="A28" s="11" t="s">
        <v>62</v>
      </c>
      <c r="B28" s="197"/>
      <c r="C28" s="101">
        <f t="shared" si="0"/>
        <v>0</v>
      </c>
      <c r="D28" s="6"/>
      <c r="E28" s="274"/>
      <c r="F28" s="201"/>
      <c r="G28" s="201"/>
      <c r="H28" s="101"/>
      <c r="I28" s="101"/>
      <c r="J28" s="6"/>
      <c r="K28" s="101"/>
      <c r="L28" s="6"/>
      <c r="M28" s="101"/>
      <c r="N28" s="101" t="e">
        <f t="shared" si="1"/>
        <v>#DIV/0!</v>
      </c>
      <c r="O28" s="212" t="e">
        <f t="shared" si="2"/>
        <v>#DIV/0!</v>
      </c>
      <c r="P28" s="15"/>
      <c r="Q28" s="15"/>
      <c r="R28" s="15"/>
    </row>
    <row r="29" spans="1:18" hidden="1" x14ac:dyDescent="0.25">
      <c r="A29" t="s">
        <v>61</v>
      </c>
      <c r="B29" s="197"/>
      <c r="C29" s="101">
        <f t="shared" si="0"/>
        <v>0</v>
      </c>
      <c r="D29" s="6"/>
      <c r="E29" s="274"/>
      <c r="F29" s="201"/>
      <c r="G29" s="201"/>
      <c r="H29" s="101"/>
      <c r="I29" s="101"/>
      <c r="J29" s="6"/>
      <c r="K29" s="101"/>
      <c r="L29" s="6"/>
      <c r="M29" s="101"/>
      <c r="N29" s="101" t="e">
        <f t="shared" si="1"/>
        <v>#DIV/0!</v>
      </c>
      <c r="O29" s="212" t="e">
        <f t="shared" si="2"/>
        <v>#DIV/0!</v>
      </c>
      <c r="P29" s="15"/>
      <c r="Q29" s="15"/>
      <c r="R29" s="15"/>
    </row>
    <row r="30" spans="1:18" x14ac:dyDescent="0.25">
      <c r="A30" t="s">
        <v>18</v>
      </c>
      <c r="B30" s="197"/>
      <c r="C30" s="101">
        <f t="shared" si="0"/>
        <v>0</v>
      </c>
      <c r="D30" s="6"/>
      <c r="E30" s="274"/>
      <c r="F30" s="201"/>
      <c r="G30" s="201"/>
      <c r="H30" s="101"/>
      <c r="I30" s="101"/>
      <c r="J30" s="6"/>
      <c r="K30" s="101"/>
      <c r="L30" s="6"/>
      <c r="M30" s="101"/>
      <c r="N30" s="101" t="e">
        <f t="shared" si="1"/>
        <v>#DIV/0!</v>
      </c>
      <c r="O30" s="212" t="e">
        <f t="shared" si="2"/>
        <v>#DIV/0!</v>
      </c>
      <c r="P30" s="15"/>
      <c r="Q30" s="15"/>
      <c r="R30" s="15"/>
    </row>
    <row r="31" spans="1:18" x14ac:dyDescent="0.25">
      <c r="A31" t="s">
        <v>19</v>
      </c>
      <c r="B31" s="197"/>
      <c r="C31" s="101">
        <f t="shared" si="0"/>
        <v>0</v>
      </c>
      <c r="D31" s="6"/>
      <c r="E31" s="274"/>
      <c r="F31" s="201"/>
      <c r="G31" s="201"/>
      <c r="H31" s="101"/>
      <c r="I31" s="101"/>
      <c r="J31" s="6"/>
      <c r="K31" s="101"/>
      <c r="L31" s="6"/>
      <c r="M31" s="101"/>
      <c r="N31" s="101" t="e">
        <f t="shared" si="1"/>
        <v>#DIV/0!</v>
      </c>
      <c r="O31" s="212" t="e">
        <f t="shared" si="2"/>
        <v>#DIV/0!</v>
      </c>
      <c r="P31" s="15"/>
      <c r="Q31" s="15"/>
      <c r="R31" s="15"/>
    </row>
    <row r="32" spans="1:18" x14ac:dyDescent="0.25">
      <c r="A32" t="s">
        <v>20</v>
      </c>
      <c r="B32" s="197"/>
      <c r="C32" s="101">
        <f t="shared" si="0"/>
        <v>0</v>
      </c>
      <c r="D32" s="6"/>
      <c r="E32" s="274"/>
      <c r="F32" s="201"/>
      <c r="G32" s="201"/>
      <c r="H32" s="101"/>
      <c r="I32" s="101"/>
      <c r="J32" s="6"/>
      <c r="K32" s="101"/>
      <c r="L32" s="6"/>
      <c r="M32" s="101"/>
      <c r="N32" s="101" t="e">
        <f t="shared" si="1"/>
        <v>#DIV/0!</v>
      </c>
      <c r="O32" s="212" t="e">
        <f t="shared" si="2"/>
        <v>#DIV/0!</v>
      </c>
      <c r="P32" s="15"/>
      <c r="Q32" s="15"/>
      <c r="R32" s="15"/>
    </row>
    <row r="33" spans="1:18" x14ac:dyDescent="0.25">
      <c r="A33" t="s">
        <v>21</v>
      </c>
      <c r="B33" s="197"/>
      <c r="C33" s="101">
        <f t="shared" si="0"/>
        <v>0</v>
      </c>
      <c r="D33" s="6"/>
      <c r="E33" s="274"/>
      <c r="F33" s="201"/>
      <c r="G33" s="201"/>
      <c r="H33" s="101"/>
      <c r="I33" s="101"/>
      <c r="J33" s="6"/>
      <c r="K33" s="101"/>
      <c r="L33" s="6"/>
      <c r="M33" s="101"/>
      <c r="N33" s="101" t="e">
        <f t="shared" si="1"/>
        <v>#DIV/0!</v>
      </c>
      <c r="O33" s="212" t="e">
        <f t="shared" si="2"/>
        <v>#DIV/0!</v>
      </c>
      <c r="P33" s="15"/>
      <c r="Q33" s="15"/>
      <c r="R33" s="15"/>
    </row>
    <row r="34" spans="1:18" x14ac:dyDescent="0.25">
      <c r="A34" t="s">
        <v>22</v>
      </c>
      <c r="B34" s="197"/>
      <c r="C34" s="101">
        <f t="shared" si="0"/>
        <v>0</v>
      </c>
      <c r="D34" s="6"/>
      <c r="E34" s="274"/>
      <c r="F34" s="201"/>
      <c r="G34" s="201"/>
      <c r="H34" s="101"/>
      <c r="I34" s="101"/>
      <c r="J34" s="6"/>
      <c r="K34" s="101"/>
      <c r="L34" s="6"/>
      <c r="M34" s="101"/>
      <c r="N34" s="101" t="e">
        <f t="shared" si="1"/>
        <v>#DIV/0!</v>
      </c>
      <c r="O34" s="212" t="e">
        <f t="shared" si="2"/>
        <v>#DIV/0!</v>
      </c>
      <c r="P34" s="15"/>
      <c r="Q34" s="15"/>
      <c r="R34" s="15"/>
    </row>
    <row r="35" spans="1:18" x14ac:dyDescent="0.25">
      <c r="A35" t="s">
        <v>23</v>
      </c>
      <c r="B35" s="197"/>
      <c r="C35" s="101">
        <f t="shared" si="0"/>
        <v>0</v>
      </c>
      <c r="D35" s="6"/>
      <c r="E35" s="274"/>
      <c r="F35" s="201"/>
      <c r="G35" s="201"/>
      <c r="H35" s="101"/>
      <c r="I35" s="101"/>
      <c r="J35" s="6"/>
      <c r="K35" s="101"/>
      <c r="L35" s="6"/>
      <c r="M35" s="101"/>
      <c r="N35" s="101" t="e">
        <f t="shared" si="1"/>
        <v>#DIV/0!</v>
      </c>
      <c r="O35" s="212" t="e">
        <f t="shared" si="2"/>
        <v>#DIV/0!</v>
      </c>
      <c r="P35" s="15"/>
      <c r="Q35" s="15"/>
      <c r="R35" s="15"/>
    </row>
    <row r="36" spans="1:18" x14ac:dyDescent="0.25">
      <c r="A36" t="s">
        <v>24</v>
      </c>
      <c r="B36" s="197"/>
      <c r="C36" s="101">
        <f t="shared" si="0"/>
        <v>0</v>
      </c>
      <c r="D36" s="6"/>
      <c r="E36" s="274"/>
      <c r="F36" s="201"/>
      <c r="G36" s="201"/>
      <c r="H36" s="101"/>
      <c r="I36" s="101"/>
      <c r="J36" s="6"/>
      <c r="K36" s="101"/>
      <c r="L36" s="6"/>
      <c r="M36" s="101"/>
      <c r="N36" s="101" t="e">
        <f t="shared" si="1"/>
        <v>#DIV/0!</v>
      </c>
      <c r="O36" s="212" t="e">
        <f t="shared" si="2"/>
        <v>#DIV/0!</v>
      </c>
      <c r="P36" s="15"/>
      <c r="Q36" s="15"/>
      <c r="R36" s="15"/>
    </row>
    <row r="37" spans="1:18" ht="12.75" customHeight="1" x14ac:dyDescent="0.25">
      <c r="A37" t="s">
        <v>25</v>
      </c>
      <c r="B37" s="197"/>
      <c r="C37" s="101">
        <f t="shared" si="0"/>
        <v>0</v>
      </c>
      <c r="D37" s="6"/>
      <c r="E37" s="274"/>
      <c r="F37" s="201"/>
      <c r="G37" s="201"/>
      <c r="H37" s="101"/>
      <c r="I37" s="101"/>
      <c r="J37" s="6"/>
      <c r="K37" s="101"/>
      <c r="L37" s="6"/>
      <c r="M37" s="101"/>
      <c r="N37" s="101" t="e">
        <f t="shared" si="1"/>
        <v>#DIV/0!</v>
      </c>
      <c r="O37" s="212" t="e">
        <f t="shared" si="2"/>
        <v>#DIV/0!</v>
      </c>
      <c r="P37" s="15"/>
      <c r="Q37" s="15"/>
      <c r="R37" s="15"/>
    </row>
    <row r="38" spans="1:18" ht="12.75" customHeight="1" x14ac:dyDescent="0.25">
      <c r="A38" s="11" t="s">
        <v>183</v>
      </c>
      <c r="B38" s="197"/>
      <c r="C38" s="101">
        <f t="shared" si="0"/>
        <v>0</v>
      </c>
      <c r="D38" s="6"/>
      <c r="E38" s="274"/>
      <c r="F38" s="201"/>
      <c r="G38" s="201"/>
      <c r="H38" s="101"/>
      <c r="I38" s="101"/>
      <c r="J38" s="6"/>
      <c r="K38" s="101"/>
      <c r="L38" s="6"/>
      <c r="M38" s="101"/>
      <c r="N38" s="101" t="e">
        <f t="shared" si="1"/>
        <v>#DIV/0!</v>
      </c>
      <c r="O38" s="212" t="e">
        <f t="shared" si="2"/>
        <v>#DIV/0!</v>
      </c>
      <c r="P38" s="15"/>
      <c r="Q38" s="15"/>
      <c r="R38" s="15"/>
    </row>
    <row r="39" spans="1:18" ht="12.75" customHeight="1" x14ac:dyDescent="0.25">
      <c r="A39" s="11" t="s">
        <v>26</v>
      </c>
      <c r="B39" s="197"/>
      <c r="C39" s="101">
        <f t="shared" si="0"/>
        <v>0</v>
      </c>
      <c r="D39" s="6"/>
      <c r="E39" s="274"/>
      <c r="F39" s="201"/>
      <c r="G39" s="201"/>
      <c r="H39" s="101"/>
      <c r="I39" s="101"/>
      <c r="J39" s="6"/>
      <c r="K39" s="101"/>
      <c r="L39" s="6"/>
      <c r="M39" s="101"/>
      <c r="N39" s="101" t="e">
        <f t="shared" si="1"/>
        <v>#DIV/0!</v>
      </c>
      <c r="O39" s="212" t="e">
        <f t="shared" si="2"/>
        <v>#DIV/0!</v>
      </c>
      <c r="P39" s="15"/>
      <c r="Q39" s="15"/>
      <c r="R39" s="15"/>
    </row>
    <row r="40" spans="1:18" ht="12.75" customHeight="1" x14ac:dyDescent="0.25">
      <c r="A40" s="11" t="s">
        <v>184</v>
      </c>
      <c r="B40" s="197"/>
      <c r="C40" s="101">
        <f t="shared" si="0"/>
        <v>0</v>
      </c>
      <c r="D40" s="6"/>
      <c r="E40" s="274"/>
      <c r="F40" s="201"/>
      <c r="G40" s="201"/>
      <c r="H40" s="101"/>
      <c r="I40" s="101"/>
      <c r="J40" s="6"/>
      <c r="K40" s="101"/>
      <c r="L40" s="6"/>
      <c r="M40" s="101"/>
      <c r="N40" s="101" t="e">
        <f t="shared" si="1"/>
        <v>#DIV/0!</v>
      </c>
      <c r="O40" s="212" t="e">
        <f t="shared" si="2"/>
        <v>#DIV/0!</v>
      </c>
      <c r="P40" s="15"/>
      <c r="Q40" s="15"/>
      <c r="R40" s="15"/>
    </row>
    <row r="41" spans="1:18" s="164" customFormat="1" ht="12.75" customHeight="1" x14ac:dyDescent="0.25">
      <c r="A41" s="11" t="s">
        <v>185</v>
      </c>
      <c r="B41" s="197"/>
      <c r="C41" s="101">
        <f t="shared" si="0"/>
        <v>0</v>
      </c>
      <c r="D41" s="6"/>
      <c r="E41" s="274"/>
      <c r="F41" s="201"/>
      <c r="G41" s="201"/>
      <c r="H41" s="101"/>
      <c r="I41" s="101"/>
      <c r="J41" s="6"/>
      <c r="K41" s="101"/>
      <c r="L41" s="6"/>
      <c r="M41" s="101"/>
      <c r="N41" s="101" t="e">
        <f t="shared" si="1"/>
        <v>#DIV/0!</v>
      </c>
      <c r="O41" s="212" t="e">
        <f t="shared" si="2"/>
        <v>#DIV/0!</v>
      </c>
      <c r="P41" s="162"/>
      <c r="Q41" s="162"/>
      <c r="R41" s="162"/>
    </row>
    <row r="42" spans="1:18" s="164" customFormat="1" ht="12.75" customHeight="1" x14ac:dyDescent="0.25">
      <c r="A42" s="11" t="s">
        <v>186</v>
      </c>
      <c r="B42" s="197"/>
      <c r="C42" s="101">
        <f t="shared" si="0"/>
        <v>0</v>
      </c>
      <c r="D42" s="6"/>
      <c r="E42" s="274"/>
      <c r="F42" s="201"/>
      <c r="G42" s="201"/>
      <c r="H42" s="101"/>
      <c r="I42" s="101"/>
      <c r="J42" s="6"/>
      <c r="K42" s="101"/>
      <c r="L42" s="6"/>
      <c r="M42" s="101"/>
      <c r="N42" s="101" t="e">
        <f t="shared" si="1"/>
        <v>#DIV/0!</v>
      </c>
      <c r="O42" s="212" t="e">
        <f t="shared" si="2"/>
        <v>#DIV/0!</v>
      </c>
      <c r="P42" s="162"/>
      <c r="Q42" s="162"/>
      <c r="R42" s="162"/>
    </row>
    <row r="43" spans="1:18" ht="12.75" customHeight="1" x14ac:dyDescent="0.25">
      <c r="A43" s="11" t="s">
        <v>187</v>
      </c>
      <c r="B43" s="197"/>
      <c r="C43" s="101">
        <f t="shared" si="0"/>
        <v>0</v>
      </c>
      <c r="D43" s="6"/>
      <c r="E43" s="274"/>
      <c r="F43" s="201"/>
      <c r="G43" s="201"/>
      <c r="H43" s="101"/>
      <c r="I43" s="101"/>
      <c r="J43" s="6"/>
      <c r="K43" s="101"/>
      <c r="L43" s="6"/>
      <c r="M43" s="101"/>
      <c r="N43" s="101" t="e">
        <f t="shared" si="1"/>
        <v>#DIV/0!</v>
      </c>
      <c r="O43" s="212" t="e">
        <f t="shared" si="2"/>
        <v>#DIV/0!</v>
      </c>
      <c r="P43" s="15"/>
      <c r="Q43" s="15"/>
      <c r="R43" s="15"/>
    </row>
    <row r="44" spans="1:18" ht="12.75" customHeight="1" x14ac:dyDescent="0.25">
      <c r="A44" s="11" t="s">
        <v>188</v>
      </c>
      <c r="B44" s="197"/>
      <c r="C44" s="101">
        <f t="shared" si="0"/>
        <v>0</v>
      </c>
      <c r="D44" s="6"/>
      <c r="E44" s="274"/>
      <c r="F44" s="201"/>
      <c r="G44" s="201"/>
      <c r="H44" s="101"/>
      <c r="I44" s="101"/>
      <c r="J44" s="6"/>
      <c r="K44" s="101"/>
      <c r="L44" s="6"/>
      <c r="M44" s="101"/>
      <c r="N44" s="101" t="e">
        <f t="shared" si="1"/>
        <v>#DIV/0!</v>
      </c>
      <c r="O44" s="212" t="e">
        <f t="shared" si="2"/>
        <v>#DIV/0!</v>
      </c>
      <c r="P44" s="15"/>
      <c r="Q44" s="15"/>
      <c r="R44" s="15"/>
    </row>
    <row r="45" spans="1:18" x14ac:dyDescent="0.25">
      <c r="A45" s="11" t="s">
        <v>177</v>
      </c>
      <c r="B45" s="197"/>
      <c r="C45" s="101">
        <f t="shared" si="0"/>
        <v>0</v>
      </c>
      <c r="D45" s="6"/>
      <c r="E45" s="274"/>
      <c r="F45" s="201"/>
      <c r="G45" s="201"/>
      <c r="H45" s="6"/>
      <c r="I45" s="168"/>
      <c r="J45" s="6"/>
      <c r="K45" s="168"/>
      <c r="L45" s="6"/>
      <c r="M45" s="168"/>
      <c r="N45" s="101" t="e">
        <f t="shared" si="1"/>
        <v>#DIV/0!</v>
      </c>
      <c r="O45" s="212" t="e">
        <f t="shared" si="2"/>
        <v>#DIV/0!</v>
      </c>
    </row>
    <row r="46" spans="1:18" x14ac:dyDescent="0.25">
      <c r="A46" s="11" t="s">
        <v>204</v>
      </c>
      <c r="B46" s="197"/>
      <c r="C46" s="101">
        <f t="shared" si="0"/>
        <v>0</v>
      </c>
      <c r="D46" s="6"/>
      <c r="E46" s="274"/>
      <c r="F46" s="201"/>
      <c r="G46" s="201"/>
      <c r="H46" s="101"/>
      <c r="I46" s="101"/>
      <c r="J46" s="6"/>
      <c r="K46" s="101"/>
      <c r="L46" s="6"/>
      <c r="M46" s="101"/>
      <c r="N46" s="101" t="e">
        <f t="shared" si="1"/>
        <v>#DIV/0!</v>
      </c>
      <c r="O46" s="212" t="e">
        <f t="shared" si="2"/>
        <v>#DIV/0!</v>
      </c>
      <c r="P46" s="15"/>
      <c r="Q46" s="15"/>
      <c r="R46" s="15"/>
    </row>
    <row r="47" spans="1:18" x14ac:dyDescent="0.25">
      <c r="A47" t="s">
        <v>27</v>
      </c>
      <c r="B47" s="197"/>
      <c r="C47" s="101">
        <f t="shared" si="0"/>
        <v>0</v>
      </c>
      <c r="D47" s="6"/>
      <c r="E47" s="274"/>
      <c r="F47" s="201"/>
      <c r="G47" s="201"/>
      <c r="H47" s="101"/>
      <c r="I47" s="101"/>
      <c r="J47" s="6"/>
      <c r="K47" s="101"/>
      <c r="L47" s="6"/>
      <c r="M47" s="101"/>
      <c r="N47" s="101" t="e">
        <f t="shared" si="1"/>
        <v>#DIV/0!</v>
      </c>
      <c r="O47" s="212" t="e">
        <f t="shared" si="2"/>
        <v>#DIV/0!</v>
      </c>
      <c r="P47" s="15"/>
      <c r="Q47" s="15"/>
      <c r="R47" s="15"/>
    </row>
    <row r="48" spans="1:18" x14ac:dyDescent="0.25">
      <c r="A48" t="s">
        <v>136</v>
      </c>
      <c r="B48" s="197"/>
      <c r="C48" s="101">
        <f t="shared" si="0"/>
        <v>0</v>
      </c>
      <c r="D48" s="6"/>
      <c r="E48" s="274"/>
      <c r="F48" s="201"/>
      <c r="G48" s="201"/>
      <c r="H48" s="101"/>
      <c r="I48" s="101"/>
      <c r="J48" s="6"/>
      <c r="K48" s="101"/>
      <c r="L48" s="6"/>
      <c r="M48" s="101"/>
      <c r="N48" s="101" t="e">
        <f t="shared" si="1"/>
        <v>#DIV/0!</v>
      </c>
      <c r="O48" s="212" t="e">
        <f t="shared" si="2"/>
        <v>#DIV/0!</v>
      </c>
      <c r="P48" s="15"/>
      <c r="Q48" s="15"/>
      <c r="R48" s="15"/>
    </row>
    <row r="49" spans="1:18" x14ac:dyDescent="0.25">
      <c r="A49" t="s">
        <v>28</v>
      </c>
      <c r="B49" s="197"/>
      <c r="C49" s="101">
        <f t="shared" si="0"/>
        <v>0</v>
      </c>
      <c r="D49" s="6"/>
      <c r="E49" s="274"/>
      <c r="F49" s="201"/>
      <c r="G49" s="201"/>
      <c r="H49" s="101"/>
      <c r="I49" s="101"/>
      <c r="J49" s="6"/>
      <c r="K49" s="101"/>
      <c r="L49" s="6"/>
      <c r="M49" s="101"/>
      <c r="N49" s="101" t="e">
        <f t="shared" si="1"/>
        <v>#DIV/0!</v>
      </c>
      <c r="O49" s="212" t="e">
        <f t="shared" si="2"/>
        <v>#DIV/0!</v>
      </c>
      <c r="P49" s="15"/>
      <c r="Q49" s="15"/>
      <c r="R49" s="15"/>
    </row>
    <row r="50" spans="1:18" x14ac:dyDescent="0.25">
      <c r="A50" s="11" t="s">
        <v>189</v>
      </c>
      <c r="B50" s="207"/>
      <c r="C50" s="101">
        <f t="shared" si="0"/>
        <v>0</v>
      </c>
      <c r="D50" s="208"/>
      <c r="E50" s="274"/>
      <c r="F50" s="201"/>
      <c r="G50" s="201"/>
      <c r="H50" s="101"/>
      <c r="I50" s="101"/>
      <c r="J50" s="208"/>
      <c r="K50" s="101"/>
      <c r="L50" s="208"/>
      <c r="M50" s="101"/>
      <c r="N50" s="101" t="e">
        <f t="shared" si="1"/>
        <v>#DIV/0!</v>
      </c>
      <c r="O50" s="212" t="e">
        <f t="shared" si="2"/>
        <v>#DIV/0!</v>
      </c>
      <c r="P50" s="15"/>
      <c r="Q50" s="15"/>
      <c r="R50" s="15"/>
    </row>
    <row r="51" spans="1:18" s="244" customFormat="1" x14ac:dyDescent="0.25">
      <c r="A51" s="11" t="s">
        <v>178</v>
      </c>
      <c r="B51" s="207"/>
      <c r="C51" s="101">
        <f t="shared" ref="C51" si="3">E51+G51+I51+K51+M51</f>
        <v>0</v>
      </c>
      <c r="D51" s="208"/>
      <c r="E51" s="274"/>
      <c r="F51" s="201"/>
      <c r="G51" s="201"/>
      <c r="H51" s="101"/>
      <c r="I51" s="101"/>
      <c r="J51" s="208"/>
      <c r="K51" s="101"/>
      <c r="L51" s="208"/>
      <c r="M51" s="101"/>
      <c r="N51" s="101" t="e">
        <f t="shared" ref="N51" si="4">E51/$E$7</f>
        <v>#DIV/0!</v>
      </c>
      <c r="O51" s="212" t="e">
        <f t="shared" si="2"/>
        <v>#DIV/0!</v>
      </c>
      <c r="P51" s="242"/>
      <c r="Q51" s="242"/>
      <c r="R51" s="242"/>
    </row>
    <row r="52" spans="1:18" ht="13.8" thickBot="1" x14ac:dyDescent="0.3">
      <c r="A52" s="3" t="s">
        <v>29</v>
      </c>
      <c r="B52" s="209" t="e">
        <f>C52/C53</f>
        <v>#DIV/0!</v>
      </c>
      <c r="C52" s="101">
        <f t="shared" si="0"/>
        <v>0</v>
      </c>
      <c r="D52" s="210"/>
      <c r="E52" s="274"/>
      <c r="F52" s="201"/>
      <c r="G52" s="201"/>
      <c r="H52" s="101"/>
      <c r="I52" s="101"/>
      <c r="J52" s="210"/>
      <c r="K52" s="101"/>
      <c r="L52" s="210"/>
      <c r="M52" s="101"/>
      <c r="N52" s="101" t="e">
        <f>E52/$E$7</f>
        <v>#DIV/0!</v>
      </c>
      <c r="O52" s="212" t="e">
        <f t="shared" si="2"/>
        <v>#DIV/0!</v>
      </c>
      <c r="P52" s="15"/>
      <c r="Q52" s="15"/>
      <c r="R52" s="15"/>
    </row>
    <row r="53" spans="1:18" ht="13.8" thickBot="1" x14ac:dyDescent="0.3">
      <c r="A53" s="1" t="s">
        <v>108</v>
      </c>
      <c r="B53" s="209"/>
      <c r="C53" s="100">
        <f>SUM(C22:C52)</f>
        <v>0</v>
      </c>
      <c r="D53" s="210"/>
      <c r="E53" s="275">
        <f>SUM(E22:E52)</f>
        <v>0</v>
      </c>
      <c r="F53" s="276"/>
      <c r="G53" s="275">
        <f>SUM(G22:G52)</f>
        <v>0</v>
      </c>
      <c r="H53" s="161"/>
      <c r="I53" s="100">
        <f>SUM(I22:I52)</f>
        <v>0</v>
      </c>
      <c r="J53" s="210"/>
      <c r="K53" s="100">
        <f>SUM(K22:K52)</f>
        <v>0</v>
      </c>
      <c r="L53" s="210"/>
      <c r="M53" s="100">
        <f>SUM(M22:M52)</f>
        <v>0</v>
      </c>
      <c r="N53" s="222" t="e">
        <f>SUM(N22:N52)</f>
        <v>#DIV/0!</v>
      </c>
      <c r="O53" s="211" t="e">
        <f>SUM(O22:O52)</f>
        <v>#DIV/0!</v>
      </c>
      <c r="P53" s="15"/>
      <c r="Q53" s="15"/>
      <c r="R53" s="15"/>
    </row>
    <row r="54" spans="1:18" ht="13.8" thickBot="1" x14ac:dyDescent="0.3">
      <c r="B54" s="197"/>
      <c r="C54" s="199"/>
      <c r="D54" s="6"/>
      <c r="E54" s="201"/>
      <c r="F54" s="201"/>
      <c r="G54" s="201"/>
      <c r="H54" s="101"/>
      <c r="I54" s="101"/>
      <c r="J54" s="6"/>
      <c r="K54" s="199"/>
      <c r="L54" s="6"/>
      <c r="M54" s="199"/>
      <c r="N54" s="168"/>
      <c r="O54" s="212"/>
      <c r="P54" s="15"/>
      <c r="Q54" s="15"/>
      <c r="R54" s="15"/>
    </row>
    <row r="55" spans="1:18" ht="13.8" thickBot="1" x14ac:dyDescent="0.3">
      <c r="A55" s="1" t="s">
        <v>30</v>
      </c>
      <c r="B55" s="197"/>
      <c r="C55" s="100">
        <f>+C13+C20+C53</f>
        <v>0</v>
      </c>
      <c r="D55" s="6"/>
      <c r="E55" s="275">
        <f>+E13+E20+E53</f>
        <v>0</v>
      </c>
      <c r="F55" s="276"/>
      <c r="G55" s="275">
        <f>+G13+G20+G53</f>
        <v>0</v>
      </c>
      <c r="H55" s="161"/>
      <c r="I55" s="100">
        <f>+I13+I20+I53</f>
        <v>0</v>
      </c>
      <c r="J55" s="6"/>
      <c r="K55" s="100">
        <f>+K13+K20+K53</f>
        <v>0</v>
      </c>
      <c r="L55" s="6"/>
      <c r="M55" s="100">
        <f>+M13+M20+M53</f>
        <v>0</v>
      </c>
      <c r="N55" s="222" t="e">
        <f>N13+N20+N53</f>
        <v>#DIV/0!</v>
      </c>
      <c r="O55" s="211" t="e">
        <f>O13+O20+O53</f>
        <v>#DIV/0!</v>
      </c>
      <c r="P55" s="187"/>
      <c r="Q55" s="15"/>
      <c r="R55" s="15"/>
    </row>
    <row r="56" spans="1:18" x14ac:dyDescent="0.25">
      <c r="B56" s="197"/>
      <c r="C56" s="213"/>
      <c r="D56" s="6"/>
      <c r="E56" s="201"/>
      <c r="F56" s="201"/>
      <c r="G56" s="201"/>
      <c r="H56" s="213"/>
      <c r="I56" s="213"/>
      <c r="J56" s="6"/>
      <c r="K56" s="213"/>
      <c r="L56" s="6"/>
      <c r="M56" s="213"/>
      <c r="N56" s="213"/>
      <c r="O56" s="223"/>
      <c r="P56" s="15"/>
      <c r="Q56" s="15"/>
      <c r="R56" s="15"/>
    </row>
    <row r="57" spans="1:18" x14ac:dyDescent="0.25">
      <c r="A57" t="s">
        <v>31</v>
      </c>
      <c r="B57" s="197"/>
      <c r="C57" s="101">
        <f>E57+G57+I57+K57+M57</f>
        <v>0</v>
      </c>
      <c r="D57" s="6"/>
      <c r="E57" s="274"/>
      <c r="F57" s="201"/>
      <c r="G57" s="201"/>
      <c r="H57" s="101"/>
      <c r="I57" s="101"/>
      <c r="J57" s="6"/>
      <c r="K57" s="101"/>
      <c r="L57" s="6"/>
      <c r="M57" s="101"/>
      <c r="N57" s="101" t="e">
        <f>E57/$E$7</f>
        <v>#DIV/0!</v>
      </c>
      <c r="O57" s="212" t="e">
        <f t="shared" ref="O57:O59" si="5">(+E57+G57+I57+K57)/$C$7</f>
        <v>#DIV/0!</v>
      </c>
      <c r="P57" s="15"/>
      <c r="Q57" s="15"/>
      <c r="R57" s="15"/>
    </row>
    <row r="58" spans="1:18" x14ac:dyDescent="0.25">
      <c r="A58" t="s">
        <v>32</v>
      </c>
      <c r="B58" s="214" t="e">
        <f>C58/C55</f>
        <v>#DIV/0!</v>
      </c>
      <c r="C58" s="101">
        <f>E58+G58+I58+K58+M58</f>
        <v>0</v>
      </c>
      <c r="D58" s="215"/>
      <c r="E58" s="274"/>
      <c r="F58" s="201"/>
      <c r="G58" s="201"/>
      <c r="H58" s="101"/>
      <c r="I58" s="101"/>
      <c r="J58" s="215"/>
      <c r="K58" s="101"/>
      <c r="L58" s="215"/>
      <c r="M58" s="101"/>
      <c r="N58" s="101" t="e">
        <f>E58/$E$7</f>
        <v>#DIV/0!</v>
      </c>
      <c r="O58" s="212" t="e">
        <f t="shared" si="5"/>
        <v>#DIV/0!</v>
      </c>
      <c r="P58" s="15"/>
      <c r="Q58" s="15"/>
      <c r="R58" s="15"/>
    </row>
    <row r="59" spans="1:18" x14ac:dyDescent="0.25">
      <c r="A59" t="s">
        <v>33</v>
      </c>
      <c r="B59" s="214" t="e">
        <f>C59/C55</f>
        <v>#DIV/0!</v>
      </c>
      <c r="C59" s="101">
        <f>E59+G59+I59+K59+M59</f>
        <v>0</v>
      </c>
      <c r="D59" s="215"/>
      <c r="E59" s="274"/>
      <c r="F59" s="201"/>
      <c r="G59" s="201"/>
      <c r="H59" s="101"/>
      <c r="I59" s="101"/>
      <c r="J59" s="215"/>
      <c r="K59" s="101"/>
      <c r="L59" s="215"/>
      <c r="M59" s="101"/>
      <c r="N59" s="101" t="e">
        <f>E59/$E$7</f>
        <v>#DIV/0!</v>
      </c>
      <c r="O59" s="212" t="e">
        <f t="shared" si="5"/>
        <v>#DIV/0!</v>
      </c>
      <c r="P59" s="169"/>
      <c r="Q59" s="15"/>
      <c r="R59" s="15"/>
    </row>
    <row r="60" spans="1:18" ht="13.8" thickBot="1" x14ac:dyDescent="0.3">
      <c r="B60" s="197"/>
      <c r="C60" s="213"/>
      <c r="D60" s="6"/>
      <c r="E60" s="201"/>
      <c r="F60" s="201"/>
      <c r="G60" s="201"/>
      <c r="H60" s="213"/>
      <c r="I60" s="213"/>
      <c r="J60" s="6"/>
      <c r="K60" s="213"/>
      <c r="L60" s="6"/>
      <c r="M60" s="213"/>
      <c r="N60" s="213"/>
      <c r="O60" s="223"/>
      <c r="P60" s="15"/>
      <c r="Q60" s="15"/>
      <c r="R60" s="15"/>
    </row>
    <row r="61" spans="1:18" ht="13.8" thickBot="1" x14ac:dyDescent="0.3">
      <c r="A61" s="1" t="s">
        <v>34</v>
      </c>
      <c r="B61" s="23"/>
      <c r="C61" s="216">
        <f>SUM(C55:C59)</f>
        <v>0</v>
      </c>
      <c r="D61" s="3"/>
      <c r="E61" s="277">
        <f>SUM(E55:E59)</f>
        <v>0</v>
      </c>
      <c r="F61" s="278"/>
      <c r="G61" s="277">
        <f>SUM(G55:G59)</f>
        <v>0</v>
      </c>
      <c r="H61" s="217"/>
      <c r="I61" s="216">
        <f>SUM(I55:I59)</f>
        <v>0</v>
      </c>
      <c r="J61" s="3"/>
      <c r="K61" s="216">
        <f>SUM(K55:K59)</f>
        <v>0</v>
      </c>
      <c r="L61" s="3"/>
      <c r="M61" s="216">
        <f>SUM(M55:M59)</f>
        <v>0</v>
      </c>
      <c r="N61" s="224" t="e">
        <f>SUM(N55:N59)</f>
        <v>#DIV/0!</v>
      </c>
      <c r="O61" s="211" t="e">
        <f>SUM(O55:O59)</f>
        <v>#DIV/0!</v>
      </c>
      <c r="P61" s="15"/>
      <c r="Q61" s="15"/>
      <c r="R61" s="15"/>
    </row>
    <row r="62" spans="1:18" x14ac:dyDescent="0.25">
      <c r="C62" s="139"/>
      <c r="E62" s="274"/>
      <c r="F62" s="274"/>
      <c r="G62" s="274"/>
      <c r="H62" s="18"/>
      <c r="I62" s="18"/>
      <c r="J62" s="18"/>
      <c r="K62" s="139"/>
      <c r="L62" s="18"/>
      <c r="M62" s="139"/>
      <c r="N62" s="139"/>
      <c r="P62" s="15"/>
      <c r="Q62" s="15"/>
      <c r="R62" s="15"/>
    </row>
    <row r="63" spans="1:18" x14ac:dyDescent="0.25">
      <c r="A63" s="22" t="s">
        <v>106</v>
      </c>
      <c r="B63" s="22"/>
      <c r="C63" s="140"/>
      <c r="D63" s="22"/>
      <c r="E63" s="279"/>
      <c r="F63" s="279"/>
      <c r="G63" s="279"/>
      <c r="H63" s="140"/>
      <c r="I63" s="140"/>
      <c r="J63" s="22"/>
      <c r="K63" s="140"/>
      <c r="L63" s="22"/>
      <c r="M63" s="140"/>
      <c r="N63" s="140"/>
      <c r="O63" s="175"/>
      <c r="P63" s="15"/>
      <c r="Q63" s="15"/>
      <c r="R63" s="15"/>
    </row>
    <row r="64" spans="1:18" x14ac:dyDescent="0.25">
      <c r="A64" s="22" t="s">
        <v>107</v>
      </c>
      <c r="B64" s="22"/>
      <c r="C64" s="140"/>
      <c r="D64" s="22"/>
      <c r="E64" s="279"/>
      <c r="F64" s="279"/>
      <c r="G64" s="279"/>
      <c r="H64" s="140"/>
      <c r="I64" s="140"/>
      <c r="J64" s="22"/>
      <c r="K64" s="140"/>
      <c r="L64" s="22"/>
      <c r="M64" s="140"/>
      <c r="N64" s="140"/>
      <c r="O64" s="140"/>
      <c r="P64" s="15"/>
      <c r="Q64" s="15"/>
      <c r="R64" s="15"/>
    </row>
    <row r="65" spans="1:18" x14ac:dyDescent="0.25">
      <c r="A65" s="142" t="s">
        <v>142</v>
      </c>
      <c r="B65" s="22"/>
      <c r="C65" s="140">
        <f>-C13</f>
        <v>0</v>
      </c>
      <c r="D65" s="22"/>
      <c r="E65" s="279"/>
      <c r="F65" s="279"/>
      <c r="G65" s="279"/>
      <c r="H65" s="22"/>
      <c r="I65" s="141"/>
      <c r="J65" s="25"/>
      <c r="K65" s="141"/>
      <c r="L65" s="25"/>
      <c r="M65" s="141"/>
      <c r="N65" s="141"/>
      <c r="O65" s="141"/>
      <c r="P65" s="163"/>
      <c r="Q65" s="15"/>
      <c r="R65" s="15"/>
    </row>
    <row r="66" spans="1:18" x14ac:dyDescent="0.25">
      <c r="A66" s="142" t="s">
        <v>143</v>
      </c>
      <c r="B66" s="22"/>
      <c r="C66" s="140">
        <f>-SUM(C58:C59)</f>
        <v>0</v>
      </c>
      <c r="D66" s="22"/>
      <c r="E66" s="279"/>
      <c r="F66" s="279"/>
      <c r="G66" s="279"/>
      <c r="H66" s="22"/>
      <c r="I66" s="141"/>
      <c r="J66" s="25"/>
      <c r="K66" s="141"/>
      <c r="L66" s="25"/>
      <c r="M66" s="141"/>
      <c r="N66" s="141"/>
      <c r="O66" s="141"/>
      <c r="P66" s="163"/>
      <c r="Q66" s="15"/>
      <c r="R66" s="15"/>
    </row>
    <row r="67" spans="1:18" x14ac:dyDescent="0.25">
      <c r="A67" s="142" t="s">
        <v>63</v>
      </c>
      <c r="B67" s="22"/>
      <c r="C67" s="143">
        <f>-C57</f>
        <v>0</v>
      </c>
      <c r="D67" s="22"/>
      <c r="E67" s="279"/>
      <c r="F67" s="279"/>
      <c r="G67" s="279"/>
      <c r="H67" s="22"/>
      <c r="I67" s="141"/>
      <c r="J67" s="25"/>
      <c r="K67" s="141"/>
      <c r="L67" s="25"/>
      <c r="M67" s="141"/>
      <c r="N67" s="141"/>
      <c r="O67" s="24"/>
      <c r="P67" s="163"/>
      <c r="Q67" s="15"/>
      <c r="R67" s="15"/>
    </row>
    <row r="68" spans="1:18" x14ac:dyDescent="0.25">
      <c r="A68" s="28" t="s">
        <v>152</v>
      </c>
      <c r="B68" s="22"/>
      <c r="C68" s="140">
        <f>C61+SUM(C65:C67)</f>
        <v>0</v>
      </c>
      <c r="D68" s="22"/>
      <c r="E68" s="279"/>
      <c r="F68" s="279"/>
      <c r="G68" s="279"/>
      <c r="H68" s="22"/>
      <c r="I68" s="141"/>
      <c r="J68" s="25"/>
      <c r="K68" s="141"/>
      <c r="L68" s="25"/>
      <c r="M68" s="141"/>
      <c r="N68" s="141"/>
      <c r="O68" s="141"/>
      <c r="P68" s="6"/>
    </row>
    <row r="69" spans="1:18" x14ac:dyDescent="0.25">
      <c r="A69" s="22"/>
      <c r="B69" s="22"/>
      <c r="C69" s="140"/>
      <c r="D69" s="22"/>
      <c r="E69" s="22"/>
      <c r="F69" s="22"/>
      <c r="G69" s="22"/>
      <c r="H69" s="22"/>
      <c r="I69" s="141"/>
      <c r="J69" s="25"/>
      <c r="K69" s="141"/>
      <c r="L69" s="25"/>
      <c r="M69" s="141"/>
      <c r="N69" s="141"/>
      <c r="O69" s="141"/>
      <c r="P69" s="6"/>
    </row>
    <row r="70" spans="1:18" x14ac:dyDescent="0.25">
      <c r="A70" s="142" t="s">
        <v>153</v>
      </c>
      <c r="B70" s="144">
        <v>0.15</v>
      </c>
      <c r="C70" s="140">
        <f>IF(C68&gt;3000000,(3000000*$B$70),(C68*B70))</f>
        <v>0</v>
      </c>
      <c r="D70" s="22"/>
      <c r="E70" s="22"/>
      <c r="F70" s="22"/>
      <c r="G70" s="22"/>
      <c r="H70" s="22"/>
      <c r="I70" s="141"/>
      <c r="J70" s="145"/>
      <c r="K70" s="141"/>
      <c r="L70" s="145"/>
      <c r="M70" s="141"/>
      <c r="N70" s="141"/>
      <c r="O70" s="25"/>
      <c r="P70" s="6"/>
    </row>
    <row r="71" spans="1:18" x14ac:dyDescent="0.25">
      <c r="A71" s="142" t="s">
        <v>154</v>
      </c>
      <c r="B71" s="149">
        <v>0.125</v>
      </c>
      <c r="C71" s="140">
        <f>(IF(C68&lt;3000000,0,(IF(C68&gt;5000000,(2000000*B71),(C68-3000000)*B71))))</f>
        <v>0</v>
      </c>
      <c r="D71" s="22"/>
      <c r="E71" s="150"/>
      <c r="F71" s="150"/>
      <c r="G71" s="150"/>
      <c r="H71" s="150"/>
      <c r="I71" s="141"/>
      <c r="J71" s="145"/>
      <c r="K71" s="141"/>
      <c r="L71" s="145"/>
      <c r="M71" s="141"/>
      <c r="N71" s="141"/>
      <c r="O71" s="176"/>
      <c r="P71" s="6"/>
    </row>
    <row r="72" spans="1:18" x14ac:dyDescent="0.25">
      <c r="A72" s="142" t="s">
        <v>155</v>
      </c>
      <c r="B72" s="144">
        <v>0.1</v>
      </c>
      <c r="C72" s="141">
        <f>IF(C68&lt;5000000,0,(C68-5000000)*B72)</f>
        <v>0</v>
      </c>
      <c r="D72" s="22"/>
      <c r="E72" s="22"/>
      <c r="F72" s="22"/>
      <c r="G72" s="22"/>
      <c r="H72" s="22"/>
      <c r="I72" s="141"/>
      <c r="J72" s="145"/>
      <c r="K72" s="141"/>
      <c r="L72" s="145"/>
      <c r="M72" s="141"/>
      <c r="N72" s="141"/>
      <c r="O72" s="25"/>
      <c r="P72" s="6"/>
    </row>
    <row r="73" spans="1:18" x14ac:dyDescent="0.25">
      <c r="A73" s="142" t="s">
        <v>151</v>
      </c>
      <c r="B73" s="144">
        <v>0.05</v>
      </c>
      <c r="C73" s="143">
        <f>(C13*B73)</f>
        <v>0</v>
      </c>
      <c r="D73" s="22"/>
      <c r="E73" s="22"/>
      <c r="F73" s="22"/>
      <c r="G73" s="22"/>
      <c r="H73" s="22"/>
      <c r="I73" s="141"/>
      <c r="J73" s="145"/>
      <c r="K73" s="141"/>
      <c r="L73" s="145"/>
      <c r="M73" s="141"/>
      <c r="N73" s="141"/>
      <c r="O73" s="25"/>
      <c r="P73" s="6"/>
    </row>
    <row r="74" spans="1:18" x14ac:dyDescent="0.25">
      <c r="A74" s="22" t="s">
        <v>129</v>
      </c>
      <c r="B74" s="22"/>
      <c r="C74" s="140">
        <f>SUM(C70:C73)</f>
        <v>0</v>
      </c>
      <c r="D74" s="22"/>
      <c r="E74" s="140"/>
      <c r="F74" s="140"/>
      <c r="G74" s="140"/>
      <c r="H74" s="140"/>
      <c r="I74" s="141"/>
      <c r="J74" s="25"/>
      <c r="K74" s="141"/>
      <c r="L74" s="25"/>
      <c r="M74" s="141"/>
      <c r="N74" s="141"/>
      <c r="O74" s="25"/>
      <c r="P74" s="6"/>
    </row>
    <row r="75" spans="1:18" x14ac:dyDescent="0.25">
      <c r="A75" s="22" t="s">
        <v>144</v>
      </c>
      <c r="B75" s="22"/>
      <c r="C75" s="140">
        <f>(C59+C58+C49)</f>
        <v>0</v>
      </c>
      <c r="D75" s="22"/>
      <c r="E75" s="22"/>
      <c r="F75" s="22"/>
      <c r="G75" s="22"/>
      <c r="H75" s="22"/>
      <c r="I75" s="141"/>
      <c r="J75" s="25"/>
      <c r="K75" s="141"/>
      <c r="L75" s="25"/>
      <c r="M75" s="141"/>
      <c r="N75" s="141"/>
      <c r="O75" s="141"/>
      <c r="P75" s="6"/>
    </row>
    <row r="76" spans="1:18" x14ac:dyDescent="0.25">
      <c r="A76" s="142" t="s">
        <v>133</v>
      </c>
      <c r="B76" s="22"/>
      <c r="C76" s="140">
        <f>C74-C75</f>
        <v>0</v>
      </c>
      <c r="D76" s="22"/>
      <c r="E76" s="22"/>
      <c r="F76" s="22"/>
      <c r="G76" s="22"/>
      <c r="H76" s="22"/>
      <c r="I76" s="141"/>
      <c r="J76" s="25"/>
      <c r="K76" s="141"/>
      <c r="L76" s="25"/>
      <c r="M76" s="141"/>
      <c r="N76" s="141"/>
      <c r="O76" s="141"/>
      <c r="P76" s="6"/>
    </row>
  </sheetData>
  <customSheetViews>
    <customSheetView guid="{39C0FFE9-C671-44BB-B6D5-EEBEC2C53D52}" scale="75" showPageBreaks="1" fitToPage="1" printArea="1" hiddenColumns="1" view="pageBreakPreview" showRuler="0" topLeftCell="A41">
      <selection activeCell="I68" sqref="I68"/>
      <pageMargins left="0.5" right="0.5" top="0.75" bottom="0.5" header="0.25" footer="0.25"/>
      <printOptions horizontalCentered="1"/>
      <pageSetup scale="80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2">
    <mergeCell ref="A5:O5"/>
    <mergeCell ref="B6:K6"/>
  </mergeCells>
  <phoneticPr fontId="0" type="noConversion"/>
  <printOptions horizontalCentered="1"/>
  <pageMargins left="0.2" right="0.2" top="0.5" bottom="0.5" header="0.5" footer="0.5"/>
  <pageSetup scale="58" orientation="landscape" r:id="rId2"/>
  <headerFooter alignWithMargins="0">
    <oddHeader>&amp;C&amp;"Arial,Bold"&amp;11Attachment 1
Project Sources and Uses</oddHeader>
    <oddFooter>&amp;C&amp;A&amp;R&amp;8Revised October 2000</oddFooter>
  </headerFooter>
  <ignoredErrors>
    <ignoredError sqref="C16" formula="1"/>
    <ignoredError sqref="B16 N12:N61" evalError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zoomScaleSheetLayoutView="75" workbookViewId="0">
      <selection activeCell="B2" sqref="B2"/>
    </sheetView>
  </sheetViews>
  <sheetFormatPr defaultRowHeight="13.2" x14ac:dyDescent="0.25"/>
  <cols>
    <col min="1" max="1" width="28.6640625" customWidth="1"/>
    <col min="2" max="2" width="16.33203125" customWidth="1"/>
    <col min="3" max="3" width="16.33203125" style="269" customWidth="1"/>
    <col min="4" max="4" width="14.88671875" customWidth="1"/>
    <col min="5" max="5" width="14.88671875" style="171" customWidth="1"/>
    <col min="6" max="6" width="14.5546875" customWidth="1"/>
    <col min="7" max="7" width="16.109375" customWidth="1"/>
    <col min="8" max="8" width="16.109375" style="171" customWidth="1"/>
    <col min="9" max="9" width="11.109375" bestFit="1" customWidth="1"/>
    <col min="10" max="10" width="16.109375" bestFit="1" customWidth="1"/>
    <col min="12" max="12" width="13.33203125" customWidth="1"/>
    <col min="13" max="13" width="10.44140625" customWidth="1"/>
    <col min="14" max="14" width="11.109375" customWidth="1"/>
  </cols>
  <sheetData>
    <row r="1" spans="1:13" x14ac:dyDescent="0.25">
      <c r="A1" s="2"/>
      <c r="B1" s="281"/>
      <c r="C1" s="282"/>
      <c r="D1" s="282"/>
      <c r="E1" s="282"/>
      <c r="F1" s="282"/>
      <c r="G1" s="282"/>
      <c r="H1" s="284"/>
    </row>
    <row r="2" spans="1:13" s="244" customFormat="1" x14ac:dyDescent="0.25">
      <c r="A2" s="2"/>
      <c r="B2" s="158" t="s">
        <v>201</v>
      </c>
      <c r="C2" s="136"/>
      <c r="D2" s="136"/>
      <c r="E2" s="136"/>
      <c r="F2" s="136"/>
      <c r="G2" s="136"/>
      <c r="H2" s="248"/>
    </row>
    <row r="3" spans="1:13" ht="45.75" customHeight="1" x14ac:dyDescent="0.25">
      <c r="B3" s="225" t="s">
        <v>145</v>
      </c>
      <c r="C3" s="195"/>
      <c r="D3" s="195" t="str">
        <f>Uses!$E$8</f>
        <v>Affordable Units Below 80% AMI</v>
      </c>
      <c r="E3" s="195" t="str">
        <f>Uses!$G$8</f>
        <v>Affordable Units Below 100% of AMI</v>
      </c>
      <c r="F3" s="195" t="str">
        <f>Uses!$I$8</f>
        <v>IDP Required On-Site Units</v>
      </c>
      <c r="G3" s="195" t="str">
        <f>Uses!$K$8</f>
        <v>Market Rate</v>
      </c>
      <c r="H3" s="196" t="str">
        <f>Uses!$M$8</f>
        <v>Commercial</v>
      </c>
      <c r="I3" s="10"/>
      <c r="J3" s="10"/>
      <c r="L3" s="10"/>
      <c r="M3" s="10"/>
    </row>
    <row r="4" spans="1:13" x14ac:dyDescent="0.25">
      <c r="A4" s="2" t="s">
        <v>42</v>
      </c>
      <c r="B4" s="194"/>
      <c r="C4" s="21"/>
      <c r="D4" s="21"/>
      <c r="E4" s="21"/>
      <c r="F4" s="21"/>
      <c r="G4" s="21"/>
      <c r="H4" s="226"/>
      <c r="I4" s="119" t="s">
        <v>131</v>
      </c>
      <c r="J4" s="14" t="s">
        <v>130</v>
      </c>
    </row>
    <row r="5" spans="1:13" x14ac:dyDescent="0.25">
      <c r="A5" s="2"/>
      <c r="B5" s="194"/>
      <c r="C5" s="21"/>
      <c r="D5" s="21"/>
      <c r="E5" s="21"/>
      <c r="F5" s="21"/>
      <c r="G5" s="21"/>
      <c r="H5" s="226"/>
    </row>
    <row r="6" spans="1:13" x14ac:dyDescent="0.25">
      <c r="A6" s="11" t="s">
        <v>165</v>
      </c>
      <c r="B6" s="227">
        <f>SUM(D6:H6)</f>
        <v>0</v>
      </c>
      <c r="C6" s="183"/>
      <c r="D6" s="111"/>
      <c r="E6" s="111"/>
      <c r="F6" s="111"/>
      <c r="G6" s="111"/>
      <c r="H6" s="228"/>
      <c r="I6" s="151">
        <v>0</v>
      </c>
      <c r="J6" s="152">
        <v>0</v>
      </c>
      <c r="L6" s="155"/>
      <c r="M6" s="91"/>
    </row>
    <row r="7" spans="1:13" x14ac:dyDescent="0.25">
      <c r="A7" s="11" t="s">
        <v>44</v>
      </c>
      <c r="B7" s="227">
        <f t="shared" ref="B7:B21" si="0">SUM(D7:H7)</f>
        <v>0</v>
      </c>
      <c r="C7" s="183"/>
      <c r="D7" s="111"/>
      <c r="E7" s="111"/>
      <c r="F7" s="111"/>
      <c r="G7" s="111"/>
      <c r="H7" s="228"/>
      <c r="I7" s="92"/>
      <c r="J7" s="96"/>
      <c r="L7" s="146"/>
      <c r="M7" s="91"/>
    </row>
    <row r="8" spans="1:13" x14ac:dyDescent="0.25">
      <c r="A8" s="11" t="s">
        <v>170</v>
      </c>
      <c r="B8" s="227">
        <f t="shared" si="0"/>
        <v>0</v>
      </c>
      <c r="C8" s="183"/>
      <c r="D8" s="111"/>
      <c r="E8" s="111"/>
      <c r="F8" s="111"/>
      <c r="G8" s="111"/>
      <c r="H8" s="228"/>
      <c r="I8" s="92"/>
      <c r="J8" s="96"/>
      <c r="L8" s="146"/>
      <c r="M8" s="91"/>
    </row>
    <row r="9" spans="1:13" s="171" customFormat="1" x14ac:dyDescent="0.25">
      <c r="A9" s="11" t="s">
        <v>171</v>
      </c>
      <c r="B9" s="227">
        <f t="shared" ref="B9:B10" si="1">SUM(D9:H9)</f>
        <v>0</v>
      </c>
      <c r="C9" s="183"/>
      <c r="D9" s="111"/>
      <c r="E9" s="111"/>
      <c r="F9" s="111"/>
      <c r="G9" s="111"/>
      <c r="H9" s="228"/>
      <c r="I9" s="92"/>
      <c r="J9" s="96"/>
      <c r="L9" s="146"/>
      <c r="M9" s="91"/>
    </row>
    <row r="10" spans="1:13" s="171" customFormat="1" x14ac:dyDescent="0.25">
      <c r="A10" s="11" t="s">
        <v>172</v>
      </c>
      <c r="B10" s="227">
        <f t="shared" si="1"/>
        <v>0</v>
      </c>
      <c r="C10" s="183"/>
      <c r="D10" s="111"/>
      <c r="E10" s="111"/>
      <c r="F10" s="255" t="s">
        <v>182</v>
      </c>
      <c r="G10" s="111"/>
      <c r="H10" s="228"/>
      <c r="I10" s="92"/>
      <c r="J10" s="96"/>
      <c r="L10" s="146"/>
      <c r="M10" s="91"/>
    </row>
    <row r="11" spans="1:13" x14ac:dyDescent="0.25">
      <c r="A11" s="11" t="s">
        <v>200</v>
      </c>
      <c r="B11" s="227">
        <f t="shared" si="0"/>
        <v>0</v>
      </c>
      <c r="C11" s="183"/>
      <c r="D11" s="111"/>
      <c r="E11" s="111"/>
      <c r="F11" s="255" t="s">
        <v>182</v>
      </c>
      <c r="G11" s="111"/>
      <c r="H11" s="228"/>
      <c r="I11" s="92"/>
      <c r="J11" s="96"/>
      <c r="L11" s="146"/>
      <c r="M11" s="91"/>
    </row>
    <row r="12" spans="1:13" x14ac:dyDescent="0.25">
      <c r="A12" s="11" t="s">
        <v>162</v>
      </c>
      <c r="B12" s="227">
        <f t="shared" si="0"/>
        <v>0</v>
      </c>
      <c r="C12" s="183"/>
      <c r="D12" s="111"/>
      <c r="E12" s="111"/>
      <c r="F12" s="255" t="s">
        <v>182</v>
      </c>
      <c r="G12" s="111"/>
      <c r="H12" s="228"/>
      <c r="I12" s="92"/>
      <c r="J12" s="96"/>
      <c r="L12" s="146"/>
      <c r="M12" s="91"/>
    </row>
    <row r="13" spans="1:13" s="241" customFormat="1" x14ac:dyDescent="0.25">
      <c r="A13" s="11" t="s">
        <v>168</v>
      </c>
      <c r="B13" s="227">
        <f t="shared" si="0"/>
        <v>0</v>
      </c>
      <c r="C13" s="183"/>
      <c r="D13" s="111"/>
      <c r="E13" s="111"/>
      <c r="F13" s="255" t="s">
        <v>182</v>
      </c>
      <c r="G13" s="111"/>
      <c r="H13" s="228"/>
      <c r="I13" s="92"/>
      <c r="J13" s="96"/>
      <c r="L13" s="146"/>
      <c r="M13" s="91"/>
    </row>
    <row r="14" spans="1:13" s="244" customFormat="1" x14ac:dyDescent="0.25">
      <c r="A14" s="11" t="s">
        <v>169</v>
      </c>
      <c r="B14" s="227">
        <f t="shared" si="0"/>
        <v>0</v>
      </c>
      <c r="C14" s="183"/>
      <c r="D14" s="111"/>
      <c r="E14" s="111"/>
      <c r="F14" s="111"/>
      <c r="G14" s="111"/>
      <c r="H14" s="228"/>
      <c r="I14" s="92"/>
      <c r="J14" s="96"/>
      <c r="L14" s="146"/>
      <c r="M14" s="91"/>
    </row>
    <row r="15" spans="1:13" s="244" customFormat="1" x14ac:dyDescent="0.25">
      <c r="A15" s="11" t="s">
        <v>169</v>
      </c>
      <c r="B15" s="227">
        <f t="shared" si="0"/>
        <v>0</v>
      </c>
      <c r="C15" s="183"/>
      <c r="D15" s="111"/>
      <c r="E15" s="111"/>
      <c r="F15" s="111"/>
      <c r="G15" s="111"/>
      <c r="H15" s="228"/>
      <c r="I15" s="92"/>
      <c r="J15" s="96"/>
      <c r="L15" s="146"/>
      <c r="M15" s="91"/>
    </row>
    <row r="16" spans="1:13" s="244" customFormat="1" x14ac:dyDescent="0.25">
      <c r="A16" s="11" t="s">
        <v>169</v>
      </c>
      <c r="B16" s="227">
        <f t="shared" si="0"/>
        <v>0</v>
      </c>
      <c r="C16" s="183"/>
      <c r="D16" s="111"/>
      <c r="E16" s="111"/>
      <c r="F16" s="111"/>
      <c r="G16" s="111"/>
      <c r="H16" s="228"/>
      <c r="I16" s="92"/>
      <c r="J16" s="96"/>
      <c r="L16" s="146"/>
      <c r="M16" s="91"/>
    </row>
    <row r="17" spans="1:13" s="244" customFormat="1" x14ac:dyDescent="0.25">
      <c r="A17" s="11" t="s">
        <v>169</v>
      </c>
      <c r="B17" s="227">
        <f t="shared" si="0"/>
        <v>0</v>
      </c>
      <c r="C17" s="183"/>
      <c r="D17" s="111"/>
      <c r="E17" s="111"/>
      <c r="F17" s="111"/>
      <c r="G17" s="111"/>
      <c r="H17" s="228"/>
      <c r="I17" s="92"/>
      <c r="J17" s="96"/>
      <c r="L17" s="146"/>
      <c r="M17" s="91"/>
    </row>
    <row r="18" spans="1:13" s="244" customFormat="1" x14ac:dyDescent="0.25">
      <c r="A18" s="11" t="s">
        <v>169</v>
      </c>
      <c r="B18" s="227">
        <f t="shared" si="0"/>
        <v>0</v>
      </c>
      <c r="C18" s="183"/>
      <c r="D18" s="111"/>
      <c r="E18" s="111"/>
      <c r="F18" s="111"/>
      <c r="G18" s="111"/>
      <c r="H18" s="228"/>
      <c r="I18" s="92"/>
      <c r="J18" s="96"/>
      <c r="L18" s="146"/>
      <c r="M18" s="91"/>
    </row>
    <row r="19" spans="1:13" s="190" customFormat="1" x14ac:dyDescent="0.25">
      <c r="A19" s="11" t="s">
        <v>169</v>
      </c>
      <c r="B19" s="227">
        <f t="shared" si="0"/>
        <v>0</v>
      </c>
      <c r="C19" s="183"/>
      <c r="D19" s="183"/>
      <c r="E19" s="183"/>
      <c r="F19" s="183"/>
      <c r="G19" s="183"/>
      <c r="H19" s="229"/>
      <c r="I19" s="92"/>
      <c r="J19" s="96"/>
      <c r="L19" s="146"/>
      <c r="M19" s="91"/>
    </row>
    <row r="20" spans="1:13" s="179" customFormat="1" x14ac:dyDescent="0.25">
      <c r="A20" s="182" t="s">
        <v>156</v>
      </c>
      <c r="B20" s="227">
        <f t="shared" ref="B20" si="2">SUM(D20:H20)</f>
        <v>0</v>
      </c>
      <c r="C20" s="183"/>
      <c r="D20" s="183"/>
      <c r="E20" s="183"/>
      <c r="F20" s="183"/>
      <c r="G20" s="183"/>
      <c r="H20" s="229"/>
      <c r="I20" s="92"/>
      <c r="J20" s="96"/>
      <c r="L20" s="146"/>
      <c r="M20" s="91"/>
    </row>
    <row r="21" spans="1:13" s="11" customFormat="1" x14ac:dyDescent="0.25">
      <c r="A21" s="180" t="s">
        <v>161</v>
      </c>
      <c r="B21" s="230">
        <f t="shared" si="0"/>
        <v>0</v>
      </c>
      <c r="C21" s="181"/>
      <c r="D21" s="181"/>
      <c r="E21" s="181"/>
      <c r="F21" s="181"/>
      <c r="G21" s="181"/>
      <c r="H21" s="231"/>
      <c r="I21" s="184"/>
      <c r="J21" s="185"/>
      <c r="L21" s="186"/>
    </row>
    <row r="22" spans="1:13" x14ac:dyDescent="0.25">
      <c r="A22" s="1" t="s">
        <v>49</v>
      </c>
      <c r="B22" s="232">
        <f t="shared" ref="B22:H22" si="3">SUM(B6:B21)</f>
        <v>0</v>
      </c>
      <c r="C22" s="233"/>
      <c r="D22" s="233">
        <f t="shared" si="3"/>
        <v>0</v>
      </c>
      <c r="E22" s="233">
        <f t="shared" si="3"/>
        <v>0</v>
      </c>
      <c r="F22" s="233">
        <f t="shared" si="3"/>
        <v>0</v>
      </c>
      <c r="G22" s="233">
        <f t="shared" si="3"/>
        <v>0</v>
      </c>
      <c r="H22" s="234">
        <f t="shared" si="3"/>
        <v>0</v>
      </c>
      <c r="L22" s="12">
        <f>SUM(L6:L21)</f>
        <v>0</v>
      </c>
    </row>
    <row r="23" spans="1:13" x14ac:dyDescent="0.25">
      <c r="B23" s="235" t="str">
        <f>IF(B22=Uses!C61,"=========","GAP")</f>
        <v>=========</v>
      </c>
      <c r="C23" s="9"/>
      <c r="D23" s="9" t="str">
        <f>IF(D22=Uses!E61,"=========","GAP")</f>
        <v>=========</v>
      </c>
      <c r="E23" s="9" t="str">
        <f>IF(E22=Uses!G61,"=========","GAP")</f>
        <v>=========</v>
      </c>
      <c r="F23" s="9" t="str">
        <f>IF(F22=Uses!I61,"=========","GAP")</f>
        <v>=========</v>
      </c>
      <c r="G23" s="9" t="str">
        <f>IF(G22=Uses!K61,"=========","GAP")</f>
        <v>=========</v>
      </c>
      <c r="H23" s="236" t="str">
        <f>IF(H22=Uses!M61,"=========","GAP")</f>
        <v>=========</v>
      </c>
    </row>
    <row r="24" spans="1:13" x14ac:dyDescent="0.25">
      <c r="A24" s="1" t="s">
        <v>50</v>
      </c>
      <c r="B24" s="232">
        <f>+B22-Uses!$C$61</f>
        <v>0</v>
      </c>
      <c r="C24" s="233"/>
      <c r="D24" s="233">
        <f>+D22-Uses!$E$61</f>
        <v>0</v>
      </c>
      <c r="E24" s="233">
        <f>+E22-Uses!$G$61</f>
        <v>0</v>
      </c>
      <c r="F24" s="233">
        <f>+F22-Uses!$I$61</f>
        <v>0</v>
      </c>
      <c r="G24" s="233">
        <f>+G22-Uses!$K$61</f>
        <v>0</v>
      </c>
      <c r="H24" s="234">
        <f>+H22-Uses!$M$61</f>
        <v>0</v>
      </c>
    </row>
    <row r="25" spans="1:13" x14ac:dyDescent="0.25">
      <c r="B25" s="197"/>
      <c r="C25" s="6"/>
      <c r="D25" s="6"/>
      <c r="E25" s="6"/>
      <c r="F25" s="6"/>
      <c r="G25" s="6"/>
      <c r="H25" s="198"/>
    </row>
    <row r="26" spans="1:13" x14ac:dyDescent="0.25">
      <c r="A26" s="2" t="s">
        <v>51</v>
      </c>
      <c r="B26" s="194"/>
      <c r="C26" s="21"/>
      <c r="D26" s="21"/>
      <c r="E26" s="21"/>
      <c r="F26" s="21"/>
      <c r="G26" s="21"/>
      <c r="H26" s="226"/>
      <c r="I26" s="119" t="s">
        <v>131</v>
      </c>
      <c r="J26" s="120" t="s">
        <v>149</v>
      </c>
      <c r="L26" t="s">
        <v>150</v>
      </c>
    </row>
    <row r="27" spans="1:13" x14ac:dyDescent="0.25">
      <c r="B27" s="197"/>
      <c r="C27" s="6"/>
      <c r="D27" s="6"/>
      <c r="E27" s="6"/>
      <c r="F27" s="6"/>
      <c r="G27" s="6"/>
      <c r="H27" s="198"/>
    </row>
    <row r="28" spans="1:13" x14ac:dyDescent="0.25">
      <c r="A28" s="11" t="s">
        <v>198</v>
      </c>
      <c r="B28" s="227">
        <f>SUM(D28:H28)</f>
        <v>0</v>
      </c>
      <c r="C28" s="183"/>
      <c r="D28" s="111"/>
      <c r="E28" s="111"/>
      <c r="F28" s="111"/>
      <c r="G28" s="111"/>
      <c r="H28" s="228"/>
      <c r="I28" s="154">
        <v>0</v>
      </c>
      <c r="J28" s="153">
        <v>0</v>
      </c>
      <c r="L28" s="156" t="e">
        <f>-PMT(I28/12, J28*12, B28)*12</f>
        <v>#NUM!</v>
      </c>
      <c r="M28" s="91"/>
    </row>
    <row r="29" spans="1:13" x14ac:dyDescent="0.25">
      <c r="A29" s="11" t="s">
        <v>44</v>
      </c>
      <c r="B29" s="227">
        <f t="shared" ref="B29:B30" si="4">SUM(D29:H29)</f>
        <v>0</v>
      </c>
      <c r="C29" s="183"/>
      <c r="D29" s="111"/>
      <c r="E29" s="111"/>
      <c r="F29" s="111"/>
      <c r="G29" s="111"/>
      <c r="H29" s="228"/>
      <c r="I29" s="91"/>
      <c r="J29" s="92"/>
      <c r="K29" s="91"/>
      <c r="L29" s="147"/>
      <c r="M29" s="91"/>
    </row>
    <row r="30" spans="1:13" x14ac:dyDescent="0.25">
      <c r="A30" s="11" t="s">
        <v>156</v>
      </c>
      <c r="B30" s="227">
        <f t="shared" si="4"/>
        <v>0</v>
      </c>
      <c r="C30" s="183"/>
      <c r="D30" s="111"/>
      <c r="E30" s="111"/>
      <c r="F30" s="111"/>
      <c r="G30" s="111"/>
      <c r="H30" s="228"/>
      <c r="I30" s="91"/>
      <c r="J30" s="92"/>
      <c r="K30" s="91"/>
      <c r="L30" s="147"/>
      <c r="M30" s="91"/>
    </row>
    <row r="31" spans="1:13" s="244" customFormat="1" x14ac:dyDescent="0.25">
      <c r="A31" s="11" t="s">
        <v>167</v>
      </c>
      <c r="B31" s="227">
        <f t="shared" ref="B31:B41" si="5">SUM(D31:H31)</f>
        <v>0</v>
      </c>
      <c r="C31" s="183"/>
      <c r="D31" s="111"/>
      <c r="E31" s="111"/>
      <c r="F31" s="111"/>
      <c r="G31" s="111"/>
      <c r="H31" s="228"/>
      <c r="I31" s="92"/>
      <c r="J31" s="96"/>
      <c r="L31" s="146"/>
      <c r="M31" s="91"/>
    </row>
    <row r="32" spans="1:13" s="244" customFormat="1" x14ac:dyDescent="0.25">
      <c r="A32" s="11" t="s">
        <v>166</v>
      </c>
      <c r="B32" s="227">
        <f t="shared" si="5"/>
        <v>0</v>
      </c>
      <c r="C32" s="183"/>
      <c r="D32" s="111"/>
      <c r="E32" s="111"/>
      <c r="F32" s="111"/>
      <c r="G32" s="111"/>
      <c r="H32" s="228"/>
      <c r="I32" s="92"/>
      <c r="J32" s="96"/>
      <c r="L32" s="146"/>
      <c r="M32" s="91"/>
    </row>
    <row r="33" spans="1:13" s="244" customFormat="1" x14ac:dyDescent="0.25">
      <c r="A33" s="11" t="s">
        <v>199</v>
      </c>
      <c r="B33" s="227">
        <f t="shared" si="5"/>
        <v>0</v>
      </c>
      <c r="C33" s="183"/>
      <c r="D33" s="111"/>
      <c r="E33" s="111"/>
      <c r="F33" s="255" t="s">
        <v>182</v>
      </c>
      <c r="G33" s="111"/>
      <c r="H33" s="228"/>
      <c r="I33" s="92"/>
      <c r="J33" s="96"/>
      <c r="L33" s="146"/>
      <c r="M33" s="91"/>
    </row>
    <row r="34" spans="1:13" s="244" customFormat="1" x14ac:dyDescent="0.25">
      <c r="A34" s="11" t="s">
        <v>200</v>
      </c>
      <c r="B34" s="227">
        <f t="shared" si="5"/>
        <v>0</v>
      </c>
      <c r="C34" s="183"/>
      <c r="D34" s="111"/>
      <c r="E34" s="111"/>
      <c r="F34" s="255" t="s">
        <v>182</v>
      </c>
      <c r="G34" s="111"/>
      <c r="H34" s="228"/>
      <c r="I34" s="92"/>
      <c r="J34" s="96"/>
      <c r="L34" s="146"/>
      <c r="M34" s="91"/>
    </row>
    <row r="35" spans="1:13" s="244" customFormat="1" x14ac:dyDescent="0.25">
      <c r="A35" s="11" t="s">
        <v>162</v>
      </c>
      <c r="B35" s="227">
        <f t="shared" si="5"/>
        <v>0</v>
      </c>
      <c r="C35" s="183"/>
      <c r="D35" s="111"/>
      <c r="E35" s="111"/>
      <c r="F35" s="255" t="s">
        <v>182</v>
      </c>
      <c r="G35" s="111"/>
      <c r="H35" s="228"/>
      <c r="I35" s="92"/>
      <c r="J35" s="96"/>
      <c r="L35" s="146"/>
      <c r="M35" s="91"/>
    </row>
    <row r="36" spans="1:13" s="244" customFormat="1" x14ac:dyDescent="0.25">
      <c r="A36" s="11" t="s">
        <v>197</v>
      </c>
      <c r="B36" s="227">
        <f t="shared" si="5"/>
        <v>0</v>
      </c>
      <c r="C36" s="183"/>
      <c r="D36" s="111"/>
      <c r="E36" s="111"/>
      <c r="F36" s="255" t="s">
        <v>182</v>
      </c>
      <c r="G36" s="111"/>
      <c r="H36" s="228"/>
      <c r="I36" s="92"/>
      <c r="J36" s="96"/>
      <c r="L36" s="146"/>
      <c r="M36" s="91"/>
    </row>
    <row r="37" spans="1:13" s="244" customFormat="1" x14ac:dyDescent="0.25">
      <c r="A37" s="11" t="s">
        <v>194</v>
      </c>
      <c r="B37" s="227">
        <f t="shared" si="5"/>
        <v>0</v>
      </c>
      <c r="C37" s="183"/>
      <c r="D37" s="111"/>
      <c r="E37" s="111"/>
      <c r="F37" s="111"/>
      <c r="G37" s="111"/>
      <c r="H37" s="228"/>
      <c r="I37" s="92"/>
      <c r="J37" s="96"/>
      <c r="L37" s="146"/>
      <c r="M37" s="91"/>
    </row>
    <row r="38" spans="1:13" s="244" customFormat="1" x14ac:dyDescent="0.25">
      <c r="A38" s="11" t="s">
        <v>195</v>
      </c>
      <c r="B38" s="227">
        <f t="shared" si="5"/>
        <v>0</v>
      </c>
      <c r="C38" s="183"/>
      <c r="D38" s="111"/>
      <c r="E38" s="111"/>
      <c r="F38" s="111"/>
      <c r="G38" s="111"/>
      <c r="H38" s="228"/>
      <c r="I38" s="92"/>
      <c r="J38" s="96"/>
      <c r="L38" s="146"/>
      <c r="M38" s="91"/>
    </row>
    <row r="39" spans="1:13" s="244" customFormat="1" x14ac:dyDescent="0.25">
      <c r="A39" s="11" t="s">
        <v>196</v>
      </c>
      <c r="B39" s="227">
        <f t="shared" si="5"/>
        <v>0</v>
      </c>
      <c r="C39" s="183"/>
      <c r="D39" s="111"/>
      <c r="E39" s="183"/>
      <c r="F39" s="111"/>
      <c r="G39" s="111"/>
      <c r="H39" s="228"/>
      <c r="I39" s="92"/>
      <c r="J39" s="96"/>
      <c r="L39" s="146"/>
      <c r="M39" s="91"/>
    </row>
    <row r="40" spans="1:13" s="244" customFormat="1" x14ac:dyDescent="0.25">
      <c r="A40" s="11" t="s">
        <v>169</v>
      </c>
      <c r="B40" s="227">
        <f t="shared" si="5"/>
        <v>0</v>
      </c>
      <c r="C40" s="183"/>
      <c r="D40" s="111"/>
      <c r="E40" s="111"/>
      <c r="F40" s="111"/>
      <c r="G40" s="111"/>
      <c r="H40" s="228"/>
      <c r="I40" s="92"/>
      <c r="J40" s="96"/>
      <c r="L40" s="146"/>
      <c r="M40" s="91"/>
    </row>
    <row r="41" spans="1:13" s="244" customFormat="1" x14ac:dyDescent="0.25">
      <c r="A41" s="11" t="s">
        <v>169</v>
      </c>
      <c r="B41" s="227">
        <f t="shared" si="5"/>
        <v>0</v>
      </c>
      <c r="C41" s="183"/>
      <c r="D41" s="111"/>
      <c r="E41" s="111"/>
      <c r="F41" s="111"/>
      <c r="G41" s="111"/>
      <c r="H41" s="228"/>
      <c r="I41" s="92"/>
      <c r="J41" s="96"/>
      <c r="L41" s="146"/>
      <c r="M41" s="91"/>
    </row>
    <row r="42" spans="1:13" s="244" customFormat="1" x14ac:dyDescent="0.25">
      <c r="A42" s="11" t="s">
        <v>169</v>
      </c>
      <c r="B42" s="227">
        <f t="shared" ref="B42:B44" si="6">SUM(D42:H42)</f>
        <v>0</v>
      </c>
      <c r="C42" s="183"/>
      <c r="D42" s="183"/>
      <c r="E42" s="183"/>
      <c r="F42" s="183"/>
      <c r="G42" s="183"/>
      <c r="H42" s="229"/>
      <c r="I42" s="92"/>
      <c r="J42" s="96"/>
      <c r="L42" s="146"/>
      <c r="M42" s="91"/>
    </row>
    <row r="43" spans="1:13" s="244" customFormat="1" x14ac:dyDescent="0.25">
      <c r="A43" s="182" t="s">
        <v>156</v>
      </c>
      <c r="B43" s="227">
        <f t="shared" si="6"/>
        <v>0</v>
      </c>
      <c r="C43" s="183"/>
      <c r="D43" s="183"/>
      <c r="E43" s="183"/>
      <c r="F43" s="183"/>
      <c r="G43" s="183"/>
      <c r="H43" s="229"/>
      <c r="I43" s="92"/>
      <c r="J43" s="96"/>
      <c r="L43" s="146"/>
      <c r="M43" s="91"/>
    </row>
    <row r="44" spans="1:13" s="11" customFormat="1" x14ac:dyDescent="0.25">
      <c r="A44" s="180" t="s">
        <v>161</v>
      </c>
      <c r="B44" s="230">
        <f t="shared" si="6"/>
        <v>0</v>
      </c>
      <c r="C44" s="181"/>
      <c r="D44" s="181"/>
      <c r="E44" s="181"/>
      <c r="F44" s="181"/>
      <c r="G44" s="181"/>
      <c r="H44" s="231"/>
      <c r="I44" s="184"/>
      <c r="J44" s="185"/>
      <c r="L44" s="186"/>
    </row>
    <row r="45" spans="1:13" x14ac:dyDescent="0.25">
      <c r="A45" s="1" t="s">
        <v>53</v>
      </c>
      <c r="B45" s="232">
        <f t="shared" ref="B45:H45" si="7">SUM(B28:B44)</f>
        <v>0</v>
      </c>
      <c r="C45" s="233"/>
      <c r="D45" s="233">
        <f>SUM(D28:D44)</f>
        <v>0</v>
      </c>
      <c r="E45" s="233">
        <f t="shared" si="7"/>
        <v>0</v>
      </c>
      <c r="F45" s="233">
        <f t="shared" si="7"/>
        <v>0</v>
      </c>
      <c r="G45" s="233">
        <f t="shared" si="7"/>
        <v>0</v>
      </c>
      <c r="H45" s="234">
        <f t="shared" si="7"/>
        <v>0</v>
      </c>
      <c r="L45" s="8"/>
    </row>
    <row r="46" spans="1:13" x14ac:dyDescent="0.25">
      <c r="B46" s="235" t="str">
        <f>IF(B45=Uses!C61,"=========","GAP")</f>
        <v>=========</v>
      </c>
      <c r="C46" s="9"/>
      <c r="D46" s="9" t="str">
        <f>IF(D45=Uses!E61,"=========","GAP")</f>
        <v>=========</v>
      </c>
      <c r="E46" s="6" t="str">
        <f>IF(E45=Uses!G61,"==========","GAP")</f>
        <v>==========</v>
      </c>
      <c r="F46" s="6" t="str">
        <f>IF(F45=Uses!I61,"==========","GAP")</f>
        <v>==========</v>
      </c>
      <c r="G46" s="6" t="str">
        <f>IF(G45=Uses!K61,"==========","GAP")</f>
        <v>==========</v>
      </c>
      <c r="H46" s="198" t="str">
        <f>IF(H45=Uses!M61,"==========","GAP")</f>
        <v>==========</v>
      </c>
    </row>
    <row r="47" spans="1:13" x14ac:dyDescent="0.25">
      <c r="A47" s="1" t="s">
        <v>50</v>
      </c>
      <c r="B47" s="232">
        <f>+B45-Uses!C61</f>
        <v>0</v>
      </c>
      <c r="C47" s="233"/>
      <c r="D47" s="233">
        <f>+D45-Uses!E61</f>
        <v>0</v>
      </c>
      <c r="E47" s="237">
        <f>+E45-Uses!G61</f>
        <v>0</v>
      </c>
      <c r="F47" s="237">
        <f>+F45-Uses!I61</f>
        <v>0</v>
      </c>
      <c r="G47" s="237">
        <f>+G45-Uses!K61</f>
        <v>0</v>
      </c>
      <c r="H47" s="238">
        <f>+H45-Uses!M61</f>
        <v>0</v>
      </c>
    </row>
    <row r="48" spans="1:13" x14ac:dyDescent="0.25">
      <c r="B48" s="23"/>
      <c r="C48" s="3"/>
      <c r="D48" s="3"/>
      <c r="E48" s="3"/>
      <c r="F48" s="3"/>
      <c r="G48" s="3"/>
      <c r="H48" s="239"/>
    </row>
    <row r="50" spans="1:11" x14ac:dyDescent="0.25">
      <c r="A50" s="16"/>
      <c r="B50" s="15"/>
      <c r="C50" s="270"/>
      <c r="D50" s="15"/>
      <c r="E50" s="170"/>
      <c r="F50" s="15"/>
      <c r="G50" s="121"/>
      <c r="H50" s="172"/>
    </row>
    <row r="51" spans="1:11" x14ac:dyDescent="0.25">
      <c r="A51" s="247"/>
      <c r="B51" s="15"/>
      <c r="C51" s="270"/>
      <c r="D51" s="15"/>
      <c r="E51" s="170"/>
      <c r="F51" s="15"/>
      <c r="G51" s="121"/>
      <c r="H51" s="172"/>
    </row>
    <row r="52" spans="1:11" x14ac:dyDescent="0.25">
      <c r="A52" s="246"/>
      <c r="B52" s="138"/>
      <c r="C52" s="138"/>
      <c r="D52" s="138"/>
      <c r="E52" s="138"/>
      <c r="F52" s="138"/>
      <c r="G52" s="121"/>
      <c r="H52" s="172"/>
    </row>
    <row r="53" spans="1:11" x14ac:dyDescent="0.25">
      <c r="A53" s="16"/>
      <c r="B53" s="138"/>
      <c r="C53" s="138"/>
      <c r="D53" s="138"/>
      <c r="E53" s="138"/>
      <c r="F53" s="138"/>
      <c r="G53" s="121"/>
      <c r="H53" s="172"/>
      <c r="I53" s="283"/>
      <c r="J53" s="283"/>
      <c r="K53" s="283"/>
    </row>
  </sheetData>
  <customSheetViews>
    <customSheetView guid="{39C0FFE9-C671-44BB-B6D5-EEBEC2C53D52}" scale="75" showPageBreaks="1" fitToPage="1" printArea="1" hiddenColumns="1" showRuler="0">
      <selection activeCell="C9" sqref="C9"/>
      <pageMargins left="0.5" right="0.5" top="0.75" bottom="0.5" header="0.25" footer="0.25"/>
      <printOptions horizontalCentered="1"/>
      <pageSetup scale="85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2">
    <mergeCell ref="I53:K53"/>
    <mergeCell ref="B1:H1"/>
  </mergeCells>
  <phoneticPr fontId="0" type="noConversion"/>
  <printOptions horizontalCentered="1"/>
  <pageMargins left="0.5" right="0.5" top="0.75" bottom="0.5" header="0.25" footer="0.25"/>
  <pageSetup scale="59" orientation="landscape" r:id="rId2"/>
  <headerFooter alignWithMargins="0">
    <oddHeader>&amp;C&amp;"Arial,Bold"&amp;11Attachment 1
Project Sources and Uses</oddHeader>
    <oddFooter>&amp;C&amp;A&amp;R&amp;8Revised October 2000</oddFooter>
  </headerFooter>
  <ignoredErrors>
    <ignoredError sqref="B28 B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75" zoomScaleNormal="75" zoomScaleSheetLayoutView="75" workbookViewId="0">
      <selection activeCell="B1" sqref="B1"/>
    </sheetView>
  </sheetViews>
  <sheetFormatPr defaultRowHeight="13.2" x14ac:dyDescent="0.25"/>
  <cols>
    <col min="1" max="1" width="27" customWidth="1"/>
    <col min="2" max="2" width="13.109375" customWidth="1"/>
    <col min="3" max="3" width="12.44140625" hidden="1" customWidth="1"/>
    <col min="4" max="6" width="9.33203125" bestFit="1" customWidth="1"/>
    <col min="7" max="7" width="12" bestFit="1" customWidth="1"/>
    <col min="8" max="8" width="10" bestFit="1" customWidth="1"/>
  </cols>
  <sheetData>
    <row r="1" spans="1:8" x14ac:dyDescent="0.25">
      <c r="A1" s="1" t="s">
        <v>0</v>
      </c>
      <c r="B1" s="1"/>
      <c r="C1" s="15"/>
      <c r="D1" s="15"/>
      <c r="E1" s="15"/>
      <c r="H1" s="7">
        <f ca="1">NOW()</f>
        <v>43010.510585995369</v>
      </c>
    </row>
    <row r="2" spans="1:8" x14ac:dyDescent="0.25">
      <c r="A2" s="1" t="s">
        <v>1</v>
      </c>
      <c r="B2" s="1"/>
      <c r="C2" s="15"/>
      <c r="D2" s="15"/>
      <c r="E2" s="15"/>
    </row>
    <row r="3" spans="1:8" x14ac:dyDescent="0.25">
      <c r="A3" s="1"/>
      <c r="B3" s="1"/>
      <c r="H3" s="7"/>
    </row>
    <row r="4" spans="1:8" x14ac:dyDescent="0.25">
      <c r="A4" s="280" t="s">
        <v>35</v>
      </c>
      <c r="B4" s="280"/>
      <c r="C4" s="289"/>
      <c r="D4" s="289"/>
      <c r="E4" s="289"/>
      <c r="F4" s="289"/>
      <c r="G4" s="289"/>
      <c r="H4" s="289"/>
    </row>
    <row r="5" spans="1:8" x14ac:dyDescent="0.25">
      <c r="G5" s="19" t="s">
        <v>56</v>
      </c>
    </row>
    <row r="6" spans="1:8" ht="26.4" x14ac:dyDescent="0.25">
      <c r="B6" s="113" t="s">
        <v>122</v>
      </c>
      <c r="C6" s="113" t="s">
        <v>121</v>
      </c>
      <c r="D6" s="10" t="s">
        <v>37</v>
      </c>
      <c r="E6" s="10" t="s">
        <v>38</v>
      </c>
      <c r="F6" s="10" t="s">
        <v>39</v>
      </c>
      <c r="G6" s="10" t="s">
        <v>40</v>
      </c>
      <c r="H6" s="10" t="s">
        <v>41</v>
      </c>
    </row>
    <row r="7" spans="1:8" x14ac:dyDescent="0.25">
      <c r="A7" s="2" t="s">
        <v>42</v>
      </c>
    </row>
    <row r="8" spans="1:8" x14ac:dyDescent="0.25">
      <c r="A8" s="2"/>
    </row>
    <row r="9" spans="1:8" ht="12.75" customHeight="1" x14ac:dyDescent="0.25">
      <c r="A9" t="s">
        <v>43</v>
      </c>
      <c r="B9" s="99">
        <v>0</v>
      </c>
      <c r="C9" s="99">
        <f>'HO Affordability'!E17*0.8</f>
        <v>0</v>
      </c>
      <c r="D9" s="96">
        <f t="shared" ref="D9:F15" si="0">10/12</f>
        <v>0.83333333333333337</v>
      </c>
      <c r="E9" s="92">
        <v>0</v>
      </c>
      <c r="F9" s="96">
        <f t="shared" si="0"/>
        <v>0.83333333333333337</v>
      </c>
      <c r="G9" s="97"/>
      <c r="H9" s="91"/>
    </row>
    <row r="10" spans="1:8" ht="12.75" customHeight="1" x14ac:dyDescent="0.25">
      <c r="A10" t="s">
        <v>44</v>
      </c>
      <c r="B10" s="99">
        <v>0</v>
      </c>
      <c r="C10" s="99">
        <f>'HO Affordability'!E17*0.2</f>
        <v>0</v>
      </c>
      <c r="D10" s="96">
        <f t="shared" si="0"/>
        <v>0.83333333333333337</v>
      </c>
      <c r="E10" s="92">
        <v>0</v>
      </c>
      <c r="F10" s="96">
        <f t="shared" si="0"/>
        <v>0.83333333333333337</v>
      </c>
      <c r="G10" s="97"/>
      <c r="H10" s="91"/>
    </row>
    <row r="11" spans="1:8" x14ac:dyDescent="0.25">
      <c r="A11" t="s">
        <v>45</v>
      </c>
      <c r="B11" s="99">
        <v>0</v>
      </c>
      <c r="C11" s="99">
        <v>0</v>
      </c>
      <c r="D11" s="96">
        <f t="shared" si="0"/>
        <v>0.83333333333333337</v>
      </c>
      <c r="E11" s="92">
        <v>0</v>
      </c>
      <c r="F11" s="96">
        <f t="shared" si="0"/>
        <v>0.83333333333333337</v>
      </c>
      <c r="G11" s="97"/>
      <c r="H11" s="91"/>
    </row>
    <row r="12" spans="1:8" x14ac:dyDescent="0.25">
      <c r="A12" t="s">
        <v>119</v>
      </c>
      <c r="B12" s="99">
        <v>0</v>
      </c>
      <c r="C12" s="99">
        <v>0</v>
      </c>
      <c r="D12" s="96">
        <f t="shared" si="0"/>
        <v>0.83333333333333337</v>
      </c>
      <c r="E12" s="92">
        <v>0</v>
      </c>
      <c r="F12" s="96">
        <f t="shared" si="0"/>
        <v>0.83333333333333337</v>
      </c>
      <c r="G12" s="97"/>
      <c r="H12" s="91"/>
    </row>
    <row r="13" spans="1:8" x14ac:dyDescent="0.25">
      <c r="A13" t="s">
        <v>116</v>
      </c>
      <c r="B13" s="99">
        <v>0</v>
      </c>
      <c r="C13" s="99">
        <v>0</v>
      </c>
      <c r="D13" s="96">
        <f t="shared" si="0"/>
        <v>0.83333333333333337</v>
      </c>
      <c r="E13" s="92">
        <v>0</v>
      </c>
      <c r="F13" s="96">
        <f t="shared" si="0"/>
        <v>0.83333333333333337</v>
      </c>
      <c r="G13" s="97"/>
      <c r="H13" s="91"/>
    </row>
    <row r="14" spans="1:8" x14ac:dyDescent="0.25">
      <c r="A14" t="s">
        <v>47</v>
      </c>
      <c r="B14" s="99">
        <v>0</v>
      </c>
      <c r="C14" s="99">
        <v>0</v>
      </c>
      <c r="D14" s="96">
        <f t="shared" si="0"/>
        <v>0.83333333333333337</v>
      </c>
      <c r="E14" s="92">
        <v>0</v>
      </c>
      <c r="F14" s="96">
        <f t="shared" si="0"/>
        <v>0.83333333333333337</v>
      </c>
      <c r="G14" s="97"/>
      <c r="H14" s="91"/>
    </row>
    <row r="15" spans="1:8" x14ac:dyDescent="0.25">
      <c r="A15" s="3" t="s">
        <v>48</v>
      </c>
      <c r="B15" s="102">
        <v>0</v>
      </c>
      <c r="C15" s="102">
        <v>0</v>
      </c>
      <c r="D15" s="90">
        <f t="shared" si="0"/>
        <v>0.83333333333333337</v>
      </c>
      <c r="E15" s="95">
        <v>0</v>
      </c>
      <c r="F15" s="90">
        <f t="shared" si="0"/>
        <v>0.83333333333333337</v>
      </c>
      <c r="G15" s="94"/>
      <c r="H15" s="94"/>
    </row>
    <row r="16" spans="1:8" x14ac:dyDescent="0.25">
      <c r="A16" s="1" t="s">
        <v>49</v>
      </c>
      <c r="B16" s="103">
        <f>SUM(B9:B15)</f>
        <v>0</v>
      </c>
      <c r="C16" s="103">
        <f>SUM(C9:C15)</f>
        <v>0</v>
      </c>
    </row>
    <row r="17" spans="1:8" x14ac:dyDescent="0.25">
      <c r="B17" s="4" t="str">
        <f>IF(B16=Uses!C61,"===========","GAP")</f>
        <v>===========</v>
      </c>
      <c r="C17" s="4" t="str">
        <f>IF(C16=Uses!K61,"===========","GAP")</f>
        <v>===========</v>
      </c>
    </row>
    <row r="18" spans="1:8" x14ac:dyDescent="0.25">
      <c r="A18" s="1" t="s">
        <v>50</v>
      </c>
      <c r="B18" s="103">
        <f>+B16-Uses!C61</f>
        <v>0</v>
      </c>
      <c r="C18" s="103">
        <f>+C16-Uses!K61</f>
        <v>0</v>
      </c>
    </row>
    <row r="20" spans="1:8" x14ac:dyDescent="0.25">
      <c r="A20" s="2" t="s">
        <v>51</v>
      </c>
    </row>
    <row r="21" spans="1:8" x14ac:dyDescent="0.25">
      <c r="A21" s="2"/>
    </row>
    <row r="22" spans="1:8" x14ac:dyDescent="0.25">
      <c r="A22" s="2" t="s">
        <v>125</v>
      </c>
      <c r="B22" s="105">
        <f>'HO Affordability'!E21</f>
        <v>0</v>
      </c>
      <c r="C22" s="105">
        <f>+'HO Affordability'!E21</f>
        <v>0</v>
      </c>
    </row>
    <row r="23" spans="1:8" x14ac:dyDescent="0.25">
      <c r="A23" s="2" t="s">
        <v>57</v>
      </c>
      <c r="B23" s="157">
        <v>0</v>
      </c>
      <c r="C23">
        <v>0</v>
      </c>
    </row>
    <row r="25" spans="1:8" x14ac:dyDescent="0.25">
      <c r="A25" t="s">
        <v>54</v>
      </c>
      <c r="B25" s="99">
        <f>(B22*0.75)</f>
        <v>0</v>
      </c>
      <c r="C25" s="99">
        <f>(C22*0.75)</f>
        <v>0</v>
      </c>
      <c r="D25" s="91">
        <v>30</v>
      </c>
      <c r="E25" s="148">
        <f>'HO Affordability'!C30</f>
        <v>0</v>
      </c>
      <c r="F25" s="91">
        <v>30</v>
      </c>
      <c r="G25" s="4">
        <f>PMT(E25/12,F25*12,C25)*12</f>
        <v>0</v>
      </c>
    </row>
    <row r="26" spans="1:8" x14ac:dyDescent="0.25">
      <c r="A26" t="s">
        <v>55</v>
      </c>
      <c r="B26" s="99">
        <f>(B22*0.2)</f>
        <v>0</v>
      </c>
      <c r="C26" s="99">
        <f>(C22*0.2)</f>
        <v>0</v>
      </c>
      <c r="D26" s="91">
        <v>30</v>
      </c>
      <c r="E26" s="148">
        <f>E25</f>
        <v>0</v>
      </c>
      <c r="F26" s="91">
        <v>30</v>
      </c>
      <c r="G26" s="4">
        <f>(C26*E26)*0.25</f>
        <v>0</v>
      </c>
    </row>
    <row r="27" spans="1:8" x14ac:dyDescent="0.25">
      <c r="A27" t="s">
        <v>58</v>
      </c>
      <c r="B27" s="99">
        <f>(B22*0.05)</f>
        <v>0</v>
      </c>
      <c r="C27" s="99">
        <f>(C22*0.05)</f>
        <v>0</v>
      </c>
      <c r="D27" s="91"/>
      <c r="E27" s="92"/>
      <c r="F27" s="91"/>
      <c r="G27" s="4"/>
    </row>
    <row r="28" spans="1:8" x14ac:dyDescent="0.25">
      <c r="A28" t="s">
        <v>52</v>
      </c>
      <c r="B28" s="99">
        <f>B11</f>
        <v>0</v>
      </c>
      <c r="C28" s="99">
        <f>C11</f>
        <v>0</v>
      </c>
      <c r="D28" s="91">
        <v>30</v>
      </c>
      <c r="E28" s="92">
        <v>0</v>
      </c>
      <c r="F28" s="91">
        <v>30</v>
      </c>
      <c r="G28" s="4"/>
    </row>
    <row r="29" spans="1:8" x14ac:dyDescent="0.25">
      <c r="A29" t="s">
        <v>119</v>
      </c>
      <c r="B29" s="99">
        <f>B12</f>
        <v>0</v>
      </c>
      <c r="C29" s="99">
        <f>C12</f>
        <v>0</v>
      </c>
      <c r="D29" s="91">
        <v>30</v>
      </c>
      <c r="E29" s="92">
        <v>0</v>
      </c>
      <c r="F29" s="91">
        <v>30</v>
      </c>
      <c r="G29" s="4"/>
    </row>
    <row r="30" spans="1:8" x14ac:dyDescent="0.25">
      <c r="A30" t="s">
        <v>116</v>
      </c>
      <c r="B30" s="99">
        <v>0</v>
      </c>
      <c r="C30" s="99">
        <v>0</v>
      </c>
      <c r="D30" s="91"/>
      <c r="E30" s="92"/>
      <c r="F30" s="91"/>
      <c r="G30" s="4"/>
    </row>
    <row r="31" spans="1:8" x14ac:dyDescent="0.25">
      <c r="A31" t="s">
        <v>47</v>
      </c>
      <c r="B31" s="99">
        <v>0</v>
      </c>
      <c r="C31" s="99">
        <v>0</v>
      </c>
      <c r="D31" s="91"/>
      <c r="E31" s="92"/>
      <c r="F31" s="91"/>
      <c r="G31" s="4"/>
    </row>
    <row r="32" spans="1:8" x14ac:dyDescent="0.25">
      <c r="A32" s="3" t="s">
        <v>48</v>
      </c>
      <c r="B32" s="102">
        <v>0</v>
      </c>
      <c r="C32" s="102">
        <v>0</v>
      </c>
      <c r="D32" s="94"/>
      <c r="E32" s="95"/>
      <c r="F32" s="94"/>
      <c r="G32" s="5"/>
      <c r="H32" s="3"/>
    </row>
    <row r="33" spans="1:7" x14ac:dyDescent="0.25">
      <c r="A33" s="1" t="s">
        <v>53</v>
      </c>
      <c r="B33" s="103">
        <f>SUM(B25:B32)</f>
        <v>0</v>
      </c>
      <c r="C33" s="103">
        <f>SUM(C25:C32)</f>
        <v>0</v>
      </c>
      <c r="G33" s="8">
        <f>SUM(G25:G32)</f>
        <v>0</v>
      </c>
    </row>
    <row r="34" spans="1:7" x14ac:dyDescent="0.25">
      <c r="B34" s="20"/>
      <c r="C34" s="20"/>
    </row>
    <row r="35" spans="1:7" x14ac:dyDescent="0.25">
      <c r="A35" s="1" t="s">
        <v>50</v>
      </c>
      <c r="B35" s="104">
        <f>+B33-Uses!C61</f>
        <v>0</v>
      </c>
      <c r="C35" s="104">
        <f>+C33-Uses!K61</f>
        <v>0</v>
      </c>
      <c r="D35" t="s">
        <v>109</v>
      </c>
    </row>
    <row r="37" spans="1:7" x14ac:dyDescent="0.25">
      <c r="A37" t="s">
        <v>59</v>
      </c>
    </row>
    <row r="40" spans="1:7" x14ac:dyDescent="0.25">
      <c r="A40" s="17" t="s">
        <v>128</v>
      </c>
      <c r="B40" s="17"/>
      <c r="C40" s="290" t="s">
        <v>113</v>
      </c>
      <c r="D40" s="290"/>
      <c r="E40" s="291"/>
      <c r="F40" s="291"/>
    </row>
    <row r="41" spans="1:7" x14ac:dyDescent="0.25">
      <c r="C41" s="289" t="s">
        <v>111</v>
      </c>
      <c r="D41" s="289"/>
      <c r="E41" s="292" t="s">
        <v>112</v>
      </c>
      <c r="F41" s="289"/>
    </row>
    <row r="42" spans="1:7" x14ac:dyDescent="0.25">
      <c r="A42" s="16" t="s">
        <v>54</v>
      </c>
      <c r="B42" s="16"/>
      <c r="C42" s="286"/>
      <c r="D42" s="285"/>
      <c r="E42" s="286">
        <f>B9</f>
        <v>0</v>
      </c>
      <c r="F42" s="285"/>
    </row>
    <row r="43" spans="1:7" x14ac:dyDescent="0.25">
      <c r="A43" s="16" t="s">
        <v>114</v>
      </c>
      <c r="B43" s="16"/>
      <c r="C43" s="285" t="s">
        <v>45</v>
      </c>
      <c r="D43" s="285"/>
      <c r="E43" s="286">
        <f>B11</f>
        <v>0</v>
      </c>
      <c r="F43" s="285"/>
    </row>
    <row r="44" spans="1:7" x14ac:dyDescent="0.25">
      <c r="A44" s="16" t="s">
        <v>114</v>
      </c>
      <c r="B44" s="16"/>
      <c r="C44" s="285" t="s">
        <v>46</v>
      </c>
      <c r="D44" s="285"/>
      <c r="E44" s="286">
        <f>B12</f>
        <v>0</v>
      </c>
      <c r="F44" s="285"/>
    </row>
    <row r="45" spans="1:7" x14ac:dyDescent="0.25">
      <c r="A45" s="16" t="s">
        <v>115</v>
      </c>
      <c r="B45" s="16"/>
      <c r="C45" s="285" t="s">
        <v>46</v>
      </c>
      <c r="D45" s="285"/>
      <c r="E45" s="286">
        <f>B13</f>
        <v>0</v>
      </c>
      <c r="F45" s="285"/>
    </row>
    <row r="46" spans="1:7" x14ac:dyDescent="0.25">
      <c r="A46" s="16" t="s">
        <v>117</v>
      </c>
      <c r="B46" s="16"/>
      <c r="C46" s="285"/>
      <c r="D46" s="285"/>
      <c r="E46" s="286">
        <f>B14</f>
        <v>0</v>
      </c>
      <c r="F46" s="285"/>
    </row>
    <row r="47" spans="1:7" x14ac:dyDescent="0.25">
      <c r="A47" s="16" t="s">
        <v>118</v>
      </c>
      <c r="B47" s="16"/>
      <c r="C47" s="285"/>
      <c r="D47" s="285"/>
      <c r="E47" s="286">
        <f>B15</f>
        <v>0</v>
      </c>
      <c r="F47" s="285"/>
    </row>
    <row r="49" spans="1:4" x14ac:dyDescent="0.25">
      <c r="A49" t="s">
        <v>137</v>
      </c>
    </row>
    <row r="50" spans="1:4" x14ac:dyDescent="0.25">
      <c r="A50" s="287"/>
      <c r="B50" s="287"/>
      <c r="C50" s="287"/>
      <c r="D50" s="287"/>
    </row>
    <row r="51" spans="1:4" x14ac:dyDescent="0.25">
      <c r="A51" s="288"/>
      <c r="B51" s="288"/>
      <c r="C51" s="288"/>
      <c r="D51" s="288"/>
    </row>
    <row r="52" spans="1:4" x14ac:dyDescent="0.25">
      <c r="A52" t="s">
        <v>147</v>
      </c>
    </row>
    <row r="53" spans="1:4" x14ac:dyDescent="0.25">
      <c r="A53" s="287"/>
      <c r="B53" s="287"/>
      <c r="C53" s="287"/>
      <c r="D53" s="287"/>
    </row>
    <row r="54" spans="1:4" x14ac:dyDescent="0.25">
      <c r="A54" s="288"/>
      <c r="B54" s="288"/>
      <c r="C54" s="288"/>
      <c r="D54" s="288"/>
    </row>
    <row r="55" spans="1:4" x14ac:dyDescent="0.25">
      <c r="A55" t="s">
        <v>148</v>
      </c>
    </row>
  </sheetData>
  <customSheetViews>
    <customSheetView guid="{39C0FFE9-C671-44BB-B6D5-EEBEC2C53D52}" scale="75" showPageBreaks="1" fitToPage="1" printArea="1" hiddenColumns="1" showRuler="0">
      <selection activeCell="E26" sqref="E26"/>
      <pageMargins left="0.5" right="0.5" top="0.75" bottom="0.5" header="0.25" footer="0.25"/>
      <printOptions horizontalCentered="1"/>
      <pageSetup scale="94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18">
    <mergeCell ref="C45:D45"/>
    <mergeCell ref="E45:F45"/>
    <mergeCell ref="C46:D46"/>
    <mergeCell ref="E46:F46"/>
    <mergeCell ref="A53:D54"/>
    <mergeCell ref="A50:D51"/>
    <mergeCell ref="A4:H4"/>
    <mergeCell ref="C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7:D47"/>
    <mergeCell ref="E47:F47"/>
  </mergeCells>
  <phoneticPr fontId="0" type="noConversion"/>
  <printOptions horizontalCentered="1"/>
  <pageMargins left="0.5" right="0.5" top="0.75" bottom="0.5" header="0.25" footer="0.25"/>
  <pageSetup scale="80" orientation="portrait" r:id="rId2"/>
  <headerFooter alignWithMargins="0">
    <oddHeader>&amp;C&amp;"Arial,Bold"&amp;11Attachment 1
Project Sources and Uses</oddHeader>
    <oddFooter>&amp;C&amp;A&amp;R&amp;8Revised October 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view="pageBreakPreview" zoomScale="75" zoomScaleNormal="60" workbookViewId="0">
      <selection activeCell="C40" sqref="C40"/>
    </sheetView>
  </sheetViews>
  <sheetFormatPr defaultRowHeight="13.2" x14ac:dyDescent="0.25"/>
  <cols>
    <col min="1" max="1" width="2.6640625" style="6" customWidth="1"/>
    <col min="2" max="2" width="25.44140625" customWidth="1"/>
    <col min="3" max="3" width="8.88671875" customWidth="1"/>
    <col min="4" max="4" width="9" bestFit="1" customWidth="1"/>
    <col min="5" max="5" width="15.5546875" customWidth="1"/>
    <col min="6" max="6" width="19.6640625" style="35" bestFit="1" customWidth="1"/>
    <col min="7" max="7" width="12.33203125" style="35" customWidth="1"/>
    <col min="8" max="8" width="13.88671875" style="27" customWidth="1"/>
    <col min="9" max="9" width="10.5546875" style="27" customWidth="1"/>
    <col min="10" max="10" width="14" style="6" bestFit="1" customWidth="1"/>
  </cols>
  <sheetData>
    <row r="1" spans="2:9" x14ac:dyDescent="0.25">
      <c r="B1" s="1" t="s">
        <v>0</v>
      </c>
      <c r="C1" s="285" t="e">
        <f>#REF!</f>
        <v>#REF!</v>
      </c>
      <c r="D1" s="285"/>
      <c r="E1" s="285"/>
      <c r="F1" s="29" t="s">
        <v>64</v>
      </c>
      <c r="G1" s="29" t="s">
        <v>64</v>
      </c>
      <c r="H1" s="29" t="s">
        <v>64</v>
      </c>
      <c r="I1" s="29"/>
    </row>
    <row r="2" spans="2:9" x14ac:dyDescent="0.25">
      <c r="B2" t="s">
        <v>65</v>
      </c>
      <c r="F2" s="26" t="s">
        <v>66</v>
      </c>
      <c r="G2" s="26" t="s">
        <v>66</v>
      </c>
      <c r="H2" s="26" t="s">
        <v>66</v>
      </c>
      <c r="I2" s="26"/>
    </row>
    <row r="3" spans="2:9" x14ac:dyDescent="0.25">
      <c r="B3" s="16" t="s">
        <v>67</v>
      </c>
      <c r="F3" s="30">
        <v>0</v>
      </c>
      <c r="G3" s="30">
        <v>0</v>
      </c>
      <c r="H3" s="29">
        <v>0</v>
      </c>
      <c r="I3" s="29"/>
    </row>
    <row r="4" spans="2:9" x14ac:dyDescent="0.25">
      <c r="B4" s="16" t="s">
        <v>68</v>
      </c>
      <c r="C4" s="27">
        <f>SUM(F4:H4)</f>
        <v>0</v>
      </c>
      <c r="E4" s="16" t="s">
        <v>69</v>
      </c>
      <c r="F4" s="30">
        <v>0</v>
      </c>
      <c r="G4" s="30">
        <v>0</v>
      </c>
      <c r="H4" s="29">
        <v>0</v>
      </c>
      <c r="I4" s="29"/>
    </row>
    <row r="5" spans="2:9" x14ac:dyDescent="0.25">
      <c r="B5" s="16" t="s">
        <v>70</v>
      </c>
      <c r="F5" s="31">
        <v>0.8</v>
      </c>
      <c r="G5" s="32">
        <v>0.8</v>
      </c>
      <c r="H5" s="31">
        <v>1.2</v>
      </c>
      <c r="I5" s="31"/>
    </row>
    <row r="6" spans="2:9" ht="6" customHeight="1" thickBot="1" x14ac:dyDescent="0.3">
      <c r="B6" s="33"/>
      <c r="F6" s="34"/>
    </row>
    <row r="7" spans="2:9" ht="6" customHeight="1" x14ac:dyDescent="0.25">
      <c r="B7" s="6"/>
      <c r="C7" s="36"/>
      <c r="D7" s="36"/>
      <c r="E7" s="36"/>
      <c r="F7" s="38"/>
      <c r="G7" s="37"/>
      <c r="H7" s="37"/>
      <c r="I7" s="35"/>
    </row>
    <row r="8" spans="2:9" x14ac:dyDescent="0.25">
      <c r="B8" s="39" t="s">
        <v>71</v>
      </c>
      <c r="E8" s="16"/>
      <c r="F8" s="29">
        <v>0</v>
      </c>
      <c r="G8" s="29">
        <v>1</v>
      </c>
      <c r="H8" s="29">
        <v>0</v>
      </c>
      <c r="I8" s="29"/>
    </row>
    <row r="9" spans="2:9" x14ac:dyDescent="0.25">
      <c r="B9" s="16" t="s">
        <v>67</v>
      </c>
      <c r="E9" s="16"/>
      <c r="F9" s="29">
        <v>0</v>
      </c>
      <c r="G9" s="29">
        <v>2</v>
      </c>
      <c r="H9" s="29">
        <v>0</v>
      </c>
      <c r="I9" s="29"/>
    </row>
    <row r="10" spans="2:9" x14ac:dyDescent="0.25">
      <c r="B10" s="16" t="s">
        <v>68</v>
      </c>
      <c r="E10" s="16" t="s">
        <v>69</v>
      </c>
      <c r="F10" s="108">
        <v>0</v>
      </c>
      <c r="G10" s="108">
        <v>0</v>
      </c>
      <c r="H10" s="108">
        <v>0</v>
      </c>
      <c r="I10" s="108"/>
    </row>
    <row r="11" spans="2:9" x14ac:dyDescent="0.25">
      <c r="B11" s="39" t="s">
        <v>72</v>
      </c>
      <c r="F11" s="40">
        <v>0</v>
      </c>
      <c r="G11" s="40">
        <v>0</v>
      </c>
      <c r="H11" s="40">
        <v>0</v>
      </c>
      <c r="I11" s="40"/>
    </row>
    <row r="12" spans="2:9" x14ac:dyDescent="0.25">
      <c r="B12" s="16" t="s">
        <v>70</v>
      </c>
      <c r="F12" s="31">
        <v>0.65</v>
      </c>
      <c r="G12" s="31">
        <v>0.65</v>
      </c>
      <c r="H12" s="31">
        <v>0.65</v>
      </c>
      <c r="I12" s="31"/>
    </row>
    <row r="13" spans="2:9" ht="6" customHeight="1" thickBot="1" x14ac:dyDescent="0.3">
      <c r="B13" s="33"/>
      <c r="F13" s="34"/>
    </row>
    <row r="14" spans="2:9" ht="6" customHeight="1" x14ac:dyDescent="0.25">
      <c r="B14" s="6"/>
      <c r="C14" s="36"/>
      <c r="D14" s="36"/>
      <c r="E14" s="36"/>
      <c r="F14" s="38"/>
      <c r="G14" s="37"/>
      <c r="H14" s="37"/>
      <c r="I14" s="35"/>
    </row>
    <row r="15" spans="2:9" ht="13.5" customHeight="1" x14ac:dyDescent="0.4">
      <c r="B15" s="6" t="s">
        <v>73</v>
      </c>
      <c r="C15" s="6"/>
      <c r="D15" s="6"/>
      <c r="E15" s="41" t="s">
        <v>74</v>
      </c>
      <c r="F15" s="34"/>
      <c r="H15" s="35"/>
      <c r="I15" s="35"/>
    </row>
    <row r="16" spans="2:9" x14ac:dyDescent="0.25">
      <c r="B16" s="42" t="s">
        <v>75</v>
      </c>
      <c r="C16" s="6"/>
      <c r="D16" s="6"/>
      <c r="E16" s="43">
        <v>0</v>
      </c>
      <c r="F16" s="34"/>
      <c r="H16" s="35"/>
      <c r="I16" s="35"/>
    </row>
    <row r="17" spans="2:10" x14ac:dyDescent="0.25">
      <c r="B17" s="42" t="s">
        <v>76</v>
      </c>
      <c r="C17" s="6"/>
      <c r="D17" s="6"/>
      <c r="E17" s="43">
        <v>0</v>
      </c>
      <c r="F17" s="34"/>
      <c r="H17" s="35"/>
      <c r="I17" s="35"/>
    </row>
    <row r="18" spans="2:10" x14ac:dyDescent="0.25">
      <c r="B18" s="42" t="s">
        <v>77</v>
      </c>
      <c r="C18" s="6"/>
      <c r="D18" s="6"/>
      <c r="E18" s="44">
        <f>SUM(F18:H18)</f>
        <v>0</v>
      </c>
      <c r="F18" s="26">
        <v>0</v>
      </c>
      <c r="G18" s="45">
        <v>0</v>
      </c>
      <c r="H18" s="45">
        <v>0</v>
      </c>
      <c r="I18" s="45"/>
    </row>
    <row r="19" spans="2:10" ht="15" customHeight="1" x14ac:dyDescent="0.25">
      <c r="B19" s="42"/>
      <c r="C19" s="6"/>
      <c r="D19" s="64" t="s">
        <v>132</v>
      </c>
      <c r="E19" s="44"/>
      <c r="F19" s="122">
        <v>0</v>
      </c>
      <c r="G19" s="122">
        <v>0</v>
      </c>
      <c r="H19" s="122">
        <v>0</v>
      </c>
      <c r="I19" s="122"/>
    </row>
    <row r="20" spans="2:10" ht="6" customHeight="1" x14ac:dyDescent="0.25">
      <c r="B20" s="46"/>
      <c r="C20" s="6"/>
      <c r="D20" s="6"/>
      <c r="E20" s="47"/>
      <c r="F20" s="34"/>
      <c r="H20" s="35"/>
      <c r="I20" s="35"/>
    </row>
    <row r="21" spans="2:10" x14ac:dyDescent="0.25">
      <c r="B21" s="46" t="s">
        <v>78</v>
      </c>
      <c r="C21" s="6"/>
      <c r="E21" s="48">
        <f>(F21*F19)+(G21*G19)+(H21*H19)</f>
        <v>0</v>
      </c>
      <c r="F21" s="45">
        <v>0</v>
      </c>
      <c r="G21" s="45">
        <v>0</v>
      </c>
      <c r="H21" s="45">
        <v>0</v>
      </c>
      <c r="I21" s="45"/>
      <c r="J21" s="124"/>
    </row>
    <row r="22" spans="2:10" ht="6" customHeight="1" thickBot="1" x14ac:dyDescent="0.3">
      <c r="B22" s="33"/>
      <c r="C22" s="33"/>
      <c r="D22" s="33"/>
      <c r="E22" s="49"/>
      <c r="F22" s="50"/>
      <c r="G22" s="50"/>
      <c r="H22" s="50"/>
      <c r="I22" s="35"/>
    </row>
    <row r="23" spans="2:10" ht="6" customHeight="1" x14ac:dyDescent="0.25">
      <c r="E23" s="51"/>
    </row>
    <row r="24" spans="2:10" x14ac:dyDescent="0.25">
      <c r="B24" t="s">
        <v>79</v>
      </c>
      <c r="F24" s="110">
        <f>IF(F5&lt;=0.8,0.05,0.1)</f>
        <v>0.05</v>
      </c>
      <c r="G24" s="110">
        <f>IF(G5&lt;=0.8,0.05,0.1)</f>
        <v>0.05</v>
      </c>
      <c r="H24" s="110">
        <f>IF(H5&lt;=0.8,0.05,0.1)</f>
        <v>0.1</v>
      </c>
      <c r="I24" s="110"/>
    </row>
    <row r="25" spans="2:10" ht="15" x14ac:dyDescent="0.4">
      <c r="F25" s="52">
        <f>-F24*F21</f>
        <v>0</v>
      </c>
      <c r="G25" s="52">
        <f>-G24*G21</f>
        <v>0</v>
      </c>
      <c r="H25" s="52">
        <f>-H24*H21</f>
        <v>0</v>
      </c>
      <c r="I25" s="52"/>
    </row>
    <row r="26" spans="2:10" x14ac:dyDescent="0.25">
      <c r="B26" t="s">
        <v>80</v>
      </c>
      <c r="F26" s="35">
        <f>F21+F25</f>
        <v>0</v>
      </c>
      <c r="G26" s="35">
        <f>G21+G25</f>
        <v>0</v>
      </c>
      <c r="H26" s="27">
        <f>H21+H25</f>
        <v>0</v>
      </c>
    </row>
    <row r="27" spans="2:10" x14ac:dyDescent="0.25">
      <c r="B27" s="6"/>
      <c r="C27" s="6"/>
      <c r="D27" s="6"/>
      <c r="E27" s="6"/>
      <c r="F27" s="53" t="str">
        <f>IF(F26 = (F31+F36), "---", "error")</f>
        <v>---</v>
      </c>
      <c r="G27" s="53" t="str">
        <f>IF(G26 = (G31+G36), "---", "error")</f>
        <v>---</v>
      </c>
      <c r="H27" s="53" t="str">
        <f>IF(H26 = (H31+H36), "---", "error")</f>
        <v>---</v>
      </c>
      <c r="I27" s="53"/>
    </row>
    <row r="28" spans="2:10" x14ac:dyDescent="0.25">
      <c r="B28" s="6"/>
      <c r="C28" s="6"/>
      <c r="D28" s="6"/>
      <c r="E28" s="6"/>
      <c r="F28" s="53"/>
      <c r="G28" s="53"/>
      <c r="H28" s="53"/>
      <c r="I28" s="53"/>
    </row>
    <row r="29" spans="2:10" ht="19.8" x14ac:dyDescent="0.4">
      <c r="B29" s="54" t="s">
        <v>103</v>
      </c>
      <c r="C29" s="55" t="s">
        <v>81</v>
      </c>
      <c r="D29" s="54" t="s">
        <v>39</v>
      </c>
      <c r="E29" s="56"/>
      <c r="F29" s="58" t="s">
        <v>2</v>
      </c>
      <c r="G29" s="57"/>
      <c r="H29" s="57"/>
      <c r="I29" s="35"/>
    </row>
    <row r="30" spans="2:10" x14ac:dyDescent="0.25">
      <c r="B30" s="59" t="s">
        <v>82</v>
      </c>
      <c r="C30" s="109">
        <v>0</v>
      </c>
      <c r="D30" s="60">
        <v>30</v>
      </c>
      <c r="E30" s="6"/>
      <c r="F30" s="61">
        <f>1-F24-F35</f>
        <v>0.75</v>
      </c>
      <c r="G30" s="61">
        <f>1-G24-G35</f>
        <v>0.75</v>
      </c>
      <c r="H30" s="61">
        <f>1-H24-H35</f>
        <v>0.9</v>
      </c>
      <c r="I30" s="61"/>
      <c r="J30" s="6" t="s">
        <v>2</v>
      </c>
    </row>
    <row r="31" spans="2:10" x14ac:dyDescent="0.25">
      <c r="B31" s="59" t="s">
        <v>83</v>
      </c>
      <c r="C31" s="114">
        <f>C30+0.005</f>
        <v>5.0000000000000001E-3</v>
      </c>
      <c r="D31" s="6"/>
      <c r="E31" s="62" t="s">
        <v>36</v>
      </c>
      <c r="F31" s="63">
        <f>F21*F30</f>
        <v>0</v>
      </c>
      <c r="G31" s="63">
        <f>G21*G30</f>
        <v>0</v>
      </c>
      <c r="H31" s="63">
        <f>H21*H30</f>
        <v>0</v>
      </c>
      <c r="I31" s="63"/>
    </row>
    <row r="32" spans="2:10" x14ac:dyDescent="0.25">
      <c r="B32" s="59" t="s">
        <v>2</v>
      </c>
      <c r="C32" s="59"/>
      <c r="D32" s="59"/>
      <c r="E32" s="64" t="s">
        <v>40</v>
      </c>
      <c r="F32" s="65">
        <f>PMT(IF(F30&gt;0.75,$C$31/12,$C$30/12),$D$30*12,F21*F30)</f>
        <v>0</v>
      </c>
      <c r="G32" s="65">
        <f>PMT(IF(G30&gt;0.75,$C$31/12,$C$30/12),$D$30*12,G21*G30)</f>
        <v>0</v>
      </c>
      <c r="H32" s="65">
        <f>PMT(IF(H30&gt;0.75,$C$31/12,$C$30/12),$D$30*12,H21*H30)</f>
        <v>0</v>
      </c>
      <c r="I32" s="65"/>
    </row>
    <row r="33" spans="1:10" ht="12.75" customHeight="1" x14ac:dyDescent="0.25">
      <c r="B33" s="59"/>
      <c r="C33" s="59"/>
      <c r="D33" s="59"/>
      <c r="E33" s="64"/>
      <c r="F33" s="65"/>
      <c r="G33" s="65"/>
      <c r="H33" s="65"/>
      <c r="I33" s="65"/>
    </row>
    <row r="34" spans="1:10" ht="15" x14ac:dyDescent="0.4">
      <c r="B34" s="66" t="s">
        <v>84</v>
      </c>
      <c r="C34" s="41" t="s">
        <v>81</v>
      </c>
      <c r="D34" s="41" t="s">
        <v>39</v>
      </c>
      <c r="E34" s="6"/>
      <c r="H34" s="35"/>
      <c r="I34" s="35"/>
    </row>
    <row r="35" spans="1:10" x14ac:dyDescent="0.25">
      <c r="B35" s="59" t="s">
        <v>82</v>
      </c>
      <c r="C35" s="67">
        <f>$C$30</f>
        <v>0</v>
      </c>
      <c r="D35" s="68">
        <f>D30</f>
        <v>30</v>
      </c>
      <c r="E35" s="6"/>
      <c r="F35" s="69">
        <f>IF(F5&lt;=0.8, 0.2,0)</f>
        <v>0.2</v>
      </c>
      <c r="G35" s="69">
        <f>IF(G5&lt;=0.8, 0.2,0)</f>
        <v>0.2</v>
      </c>
      <c r="H35" s="69">
        <f>IF(H5&lt;=0.8, 0.2,0)</f>
        <v>0</v>
      </c>
      <c r="I35" s="69"/>
    </row>
    <row r="36" spans="1:10" x14ac:dyDescent="0.25">
      <c r="B36" s="59" t="s">
        <v>83</v>
      </c>
      <c r="C36" s="70" t="s">
        <v>85</v>
      </c>
      <c r="E36" s="62" t="s">
        <v>86</v>
      </c>
      <c r="F36" s="63">
        <f>F21*F35</f>
        <v>0</v>
      </c>
      <c r="G36" s="63">
        <f>G21*G35</f>
        <v>0</v>
      </c>
      <c r="H36" s="63">
        <f>H21*H35</f>
        <v>0</v>
      </c>
      <c r="I36" s="63"/>
    </row>
    <row r="37" spans="1:10" ht="12.75" customHeight="1" x14ac:dyDescent="0.25">
      <c r="B37" s="3"/>
      <c r="C37" s="71"/>
      <c r="D37" s="71"/>
      <c r="E37" s="72" t="s">
        <v>104</v>
      </c>
      <c r="F37" s="73">
        <f>(F36*($C$35/12))*-0.25</f>
        <v>0</v>
      </c>
      <c r="G37" s="73">
        <f>(G36*($C$35/12))*-0.25</f>
        <v>0</v>
      </c>
      <c r="H37" s="73">
        <f>(H36*($C$35/12))*-0.25</f>
        <v>0</v>
      </c>
      <c r="I37" s="75"/>
    </row>
    <row r="38" spans="1:10" ht="12.75" customHeight="1" x14ac:dyDescent="0.25">
      <c r="B38" s="6"/>
      <c r="C38" s="67"/>
      <c r="D38" s="67"/>
      <c r="E38" s="64"/>
      <c r="F38" s="74"/>
      <c r="G38" s="75"/>
      <c r="H38" s="75"/>
      <c r="I38" s="75"/>
    </row>
    <row r="39" spans="1:10" ht="15" x14ac:dyDescent="0.4">
      <c r="B39" t="s">
        <v>87</v>
      </c>
      <c r="C39" s="76">
        <v>13.04</v>
      </c>
      <c r="D39" s="77" t="s">
        <v>88</v>
      </c>
      <c r="E39" s="78">
        <v>1000</v>
      </c>
      <c r="F39" s="27">
        <f>-(((F21)/1000)*$C$39)/12</f>
        <v>0</v>
      </c>
      <c r="G39" s="27">
        <f>-(((G21)/1000)*$C$39)/12</f>
        <v>0</v>
      </c>
      <c r="H39" s="27">
        <f>-(((H21)/1000)*$C$39)/12</f>
        <v>0</v>
      </c>
      <c r="J39" s="125"/>
    </row>
    <row r="40" spans="1:10" x14ac:dyDescent="0.25">
      <c r="A40" s="6">
        <v>80</v>
      </c>
      <c r="B40" t="s">
        <v>89</v>
      </c>
      <c r="C40" s="76">
        <v>9.06</v>
      </c>
      <c r="D40" s="77" t="s">
        <v>88</v>
      </c>
      <c r="E40" s="78">
        <v>1000</v>
      </c>
      <c r="F40" s="93">
        <f>IF(F42&gt;=0,(-(F21/$E$40)*$C$40/12),0)</f>
        <v>0</v>
      </c>
      <c r="G40" s="93">
        <f>IF(G42&gt;=0,(-(G21/$E$40)*$C$40/12),0)</f>
        <v>0</v>
      </c>
      <c r="H40" s="93">
        <f>IF(H42&gt;=0,(-(H21/$E$40)*$C$40/12),0)</f>
        <v>0</v>
      </c>
      <c r="I40" s="93"/>
    </row>
    <row r="41" spans="1:10" x14ac:dyDescent="0.25">
      <c r="B41" t="s">
        <v>90</v>
      </c>
      <c r="C41" s="127">
        <v>0.03</v>
      </c>
      <c r="D41" s="13" t="s">
        <v>140</v>
      </c>
      <c r="E41" s="128" t="s">
        <v>141</v>
      </c>
      <c r="F41" s="79">
        <v>0</v>
      </c>
      <c r="G41" s="79">
        <f>IF(G36=0,(G32*$C$41),0)</f>
        <v>0</v>
      </c>
      <c r="H41" s="79">
        <f>IF(H36=0,(H32*$C$41),0)</f>
        <v>0</v>
      </c>
      <c r="I41" s="79"/>
    </row>
    <row r="42" spans="1:10" ht="15" x14ac:dyDescent="0.4">
      <c r="B42" t="s">
        <v>91</v>
      </c>
      <c r="E42" s="107">
        <v>0</v>
      </c>
      <c r="F42" s="52">
        <v>0</v>
      </c>
      <c r="G42" s="52">
        <f>IF($E$42&lt;0,((G4*$E$42)/$C$4/12),0)</f>
        <v>0</v>
      </c>
      <c r="H42" s="52">
        <f>IF($E$42&lt;0,((H4*$E$42)/$C$4/12),0)</f>
        <v>0</v>
      </c>
      <c r="I42" s="52"/>
      <c r="J42" s="43" t="s">
        <v>2</v>
      </c>
    </row>
    <row r="43" spans="1:10" x14ac:dyDescent="0.25">
      <c r="B43" t="s">
        <v>92</v>
      </c>
      <c r="F43" s="35">
        <f>F32+F37+SUM(F39:F42)</f>
        <v>0</v>
      </c>
      <c r="G43" s="35">
        <f>G32+G37+SUM(G39:G42)</f>
        <v>0</v>
      </c>
      <c r="H43" s="35">
        <f>H32+H37+SUM(H39:H42)</f>
        <v>0</v>
      </c>
      <c r="I43" s="35"/>
    </row>
    <row r="44" spans="1:10" x14ac:dyDescent="0.25">
      <c r="H44" s="35"/>
      <c r="I44" s="35"/>
    </row>
    <row r="45" spans="1:10" x14ac:dyDescent="0.25">
      <c r="B45" t="s">
        <v>93</v>
      </c>
      <c r="F45" s="35">
        <f>F8*F11</f>
        <v>0</v>
      </c>
      <c r="G45" s="35">
        <v>0</v>
      </c>
      <c r="H45" s="35">
        <f>H8*H11</f>
        <v>0</v>
      </c>
      <c r="I45" s="35"/>
    </row>
    <row r="46" spans="1:10" x14ac:dyDescent="0.25">
      <c r="B46" t="s">
        <v>94</v>
      </c>
      <c r="C46" t="s">
        <v>105</v>
      </c>
      <c r="F46" s="31">
        <f>IF(F36&gt;0,0.75,0.5)</f>
        <v>0.5</v>
      </c>
      <c r="G46" s="31">
        <f>IF(G36&gt;0,0.75,0.5)</f>
        <v>0.5</v>
      </c>
      <c r="H46" s="31">
        <f>IF(H36&gt;0,0.75,0.5)</f>
        <v>0.5</v>
      </c>
      <c r="I46" s="31"/>
    </row>
    <row r="47" spans="1:10" ht="13.8" thickBot="1" x14ac:dyDescent="0.3">
      <c r="B47" t="s">
        <v>95</v>
      </c>
      <c r="F47" s="35">
        <f>F45*F46</f>
        <v>0</v>
      </c>
      <c r="G47" s="35">
        <f>G45*G46</f>
        <v>0</v>
      </c>
      <c r="H47" s="35">
        <f>H45*H46</f>
        <v>0</v>
      </c>
      <c r="I47" s="35"/>
    </row>
    <row r="48" spans="1:10" ht="5.25" customHeight="1" x14ac:dyDescent="0.25">
      <c r="B48" s="36"/>
      <c r="C48" s="36"/>
      <c r="D48" s="36"/>
      <c r="E48" s="36"/>
      <c r="F48" s="37"/>
      <c r="G48" s="37"/>
      <c r="H48" s="37"/>
      <c r="I48" s="35"/>
    </row>
    <row r="49" spans="2:9" ht="15" x14ac:dyDescent="0.4">
      <c r="B49" s="80" t="s">
        <v>96</v>
      </c>
      <c r="C49" s="6"/>
      <c r="D49" s="6"/>
      <c r="E49" s="6"/>
      <c r="F49" s="130">
        <f>F3-1</f>
        <v>-1</v>
      </c>
      <c r="G49" s="130">
        <f>G3-1</f>
        <v>-1</v>
      </c>
      <c r="H49" s="130">
        <f>H3-1</f>
        <v>-1</v>
      </c>
      <c r="I49" s="81"/>
    </row>
    <row r="50" spans="2:9" x14ac:dyDescent="0.25">
      <c r="B50" s="6" t="s">
        <v>110</v>
      </c>
      <c r="C50" s="6"/>
      <c r="D50" s="6"/>
      <c r="E50" s="6"/>
      <c r="F50" s="131" t="e">
        <f>INDEX(#REF!,MATCH('HO Affordability'!F49,#REF!),MATCH('HO Affordability'!F5,#REF!))</f>
        <v>#REF!</v>
      </c>
      <c r="G50" s="131" t="e">
        <f>INDEX(#REF!,MATCH('HO Affordability'!G49,#REF!),MATCH('HO Affordability'!G5,#REF!))</f>
        <v>#REF!</v>
      </c>
      <c r="H50" s="131" t="e">
        <f>INDEX(#REF!,MATCH('HO Affordability'!H49,#REF!),MATCH('HO Affordability'!H5,#REF!))</f>
        <v>#REF!</v>
      </c>
      <c r="I50" s="53"/>
    </row>
    <row r="51" spans="2:9" x14ac:dyDescent="0.25">
      <c r="B51" s="6" t="s">
        <v>124</v>
      </c>
      <c r="C51" s="6"/>
      <c r="D51" s="82">
        <v>0.33</v>
      </c>
      <c r="E51" s="116">
        <v>0.3</v>
      </c>
      <c r="F51" s="132">
        <f>((-F43-F47)*12)/(IF(F5&lt;0.81,$D$58,$E$58))</f>
        <v>0</v>
      </c>
      <c r="G51" s="132">
        <f>((-G43-G47)*12)/(IF(G5&lt;0.81,$D$58,$E$58))</f>
        <v>0</v>
      </c>
      <c r="H51" s="132">
        <f>((-H43-H47)*12)/(IF(H5&lt;0.81,$D$58,$E$58))</f>
        <v>0</v>
      </c>
      <c r="I51" s="35"/>
    </row>
    <row r="52" spans="2:9" x14ac:dyDescent="0.25">
      <c r="B52" s="6"/>
      <c r="C52" s="6"/>
      <c r="D52" s="6"/>
      <c r="E52" s="64" t="s">
        <v>126</v>
      </c>
      <c r="F52" s="133" t="e">
        <f>(CONCATENATE(TEXT(F5*F51/F50,"0%"),"  to ",TEXT(F5, "0%")))</f>
        <v>#REF!</v>
      </c>
      <c r="G52" s="133" t="e">
        <f>(CONCATENATE(TEXT(G5*G51/G50,"0%"),"  to ",TEXT(G5, "0%")))</f>
        <v>#REF!</v>
      </c>
      <c r="H52" s="133" t="e">
        <f>(CONCATENATE(TEXT(H5*H51/H50,"0%"),"  to ",TEXT(H5, "0%")))</f>
        <v>#REF!</v>
      </c>
      <c r="I52" s="117"/>
    </row>
    <row r="53" spans="2:9" x14ac:dyDescent="0.25">
      <c r="B53" s="6"/>
      <c r="C53" s="6"/>
      <c r="D53" s="6"/>
      <c r="E53" s="6"/>
      <c r="F53" s="133" t="s">
        <v>127</v>
      </c>
      <c r="G53" s="133" t="s">
        <v>127</v>
      </c>
      <c r="H53" s="133" t="s">
        <v>127</v>
      </c>
      <c r="I53" s="117"/>
    </row>
    <row r="54" spans="2:9" x14ac:dyDescent="0.25">
      <c r="C54" s="6"/>
      <c r="D54" s="6"/>
      <c r="E54" s="6"/>
      <c r="F54" s="134" t="e">
        <f>IF(F51&gt;F50, "error", "---")</f>
        <v>#REF!</v>
      </c>
      <c r="G54" s="134" t="e">
        <f>IF(G51&gt;G50, "error", "---")</f>
        <v>#REF!</v>
      </c>
      <c r="H54" s="134" t="e">
        <f>IF(H51&gt;H50, "error", "---")</f>
        <v>#REF!</v>
      </c>
      <c r="I54" s="69"/>
    </row>
    <row r="55" spans="2:9" x14ac:dyDescent="0.25">
      <c r="B55" s="6"/>
      <c r="C55" s="6"/>
      <c r="D55" s="6"/>
      <c r="E55" s="6"/>
      <c r="F55" s="118"/>
      <c r="G55" s="118"/>
      <c r="H55" s="118"/>
      <c r="I55" s="69"/>
    </row>
    <row r="56" spans="2:9" ht="15" x14ac:dyDescent="0.4">
      <c r="B56" s="80" t="s">
        <v>96</v>
      </c>
      <c r="C56" s="6"/>
      <c r="D56" s="6"/>
      <c r="E56" s="6"/>
      <c r="F56" s="130">
        <f>F3</f>
        <v>0</v>
      </c>
      <c r="G56" s="130">
        <f>G3</f>
        <v>0</v>
      </c>
      <c r="H56" s="130">
        <f>H3</f>
        <v>0</v>
      </c>
      <c r="I56" s="81"/>
    </row>
    <row r="57" spans="2:9" x14ac:dyDescent="0.25">
      <c r="B57" s="6" t="s">
        <v>110</v>
      </c>
      <c r="C57" s="6"/>
      <c r="D57" s="6"/>
      <c r="E57" s="6"/>
      <c r="F57" s="131" t="e">
        <f>INDEX(#REF!,MATCH('HO Affordability'!F56,#REF!),MATCH('HO Affordability'!F5,#REF!))</f>
        <v>#REF!</v>
      </c>
      <c r="G57" s="131" t="e">
        <f>INDEX(#REF!,MATCH('HO Affordability'!G56,#REF!),MATCH('HO Affordability'!G5,#REF!))</f>
        <v>#REF!</v>
      </c>
      <c r="H57" s="131" t="e">
        <f>INDEX(#REF!,MATCH('HO Affordability'!H56,#REF!),MATCH('HO Affordability'!H5,#REF!))</f>
        <v>#REF!</v>
      </c>
      <c r="I57" s="53"/>
    </row>
    <row r="58" spans="2:9" x14ac:dyDescent="0.25">
      <c r="B58" s="6" t="s">
        <v>124</v>
      </c>
      <c r="C58" s="6"/>
      <c r="D58" s="82">
        <v>0.33</v>
      </c>
      <c r="E58" s="116">
        <v>0.3</v>
      </c>
      <c r="F58" s="132">
        <f>((-F43-F47)*12)/(IF(F5&lt;0.81,$D$58,$E$58))</f>
        <v>0</v>
      </c>
      <c r="G58" s="132">
        <f>((-G43-G47)*12)/(IF(G5&lt;0.81,$D$58,$E$58))</f>
        <v>0</v>
      </c>
      <c r="H58" s="132">
        <f>((-H43-H47)*12)/(IF(H5&lt;0.81,$D$58,$E$58))</f>
        <v>0</v>
      </c>
      <c r="I58" s="35"/>
    </row>
    <row r="59" spans="2:9" x14ac:dyDescent="0.25">
      <c r="B59" s="6"/>
      <c r="C59" s="6"/>
      <c r="D59" s="6"/>
      <c r="E59" s="64" t="s">
        <v>126</v>
      </c>
      <c r="F59" s="133" t="e">
        <f>(CONCATENATE(TEXT(F5*F58/F57,"0%"),"  to ",TEXT(F5, "0%")))</f>
        <v>#REF!</v>
      </c>
      <c r="G59" s="133" t="e">
        <f>(CONCATENATE(TEXT(G5*G58/G57,"0%"),"  to ",TEXT(G5, "0%")))</f>
        <v>#REF!</v>
      </c>
      <c r="H59" s="133" t="e">
        <f>(CONCATENATE(TEXT(H5*H58/H57,"0%"),"  to ",TEXT(H5, "0%")))</f>
        <v>#REF!</v>
      </c>
      <c r="I59" s="117"/>
    </row>
    <row r="60" spans="2:9" x14ac:dyDescent="0.25">
      <c r="B60" s="6"/>
      <c r="C60" s="6"/>
      <c r="D60" s="6"/>
      <c r="E60" s="6"/>
      <c r="F60" s="133" t="s">
        <v>127</v>
      </c>
      <c r="G60" s="133" t="s">
        <v>127</v>
      </c>
      <c r="H60" s="133" t="s">
        <v>127</v>
      </c>
      <c r="I60" s="117"/>
    </row>
    <row r="61" spans="2:9" x14ac:dyDescent="0.25">
      <c r="C61" s="6"/>
      <c r="D61" s="6"/>
      <c r="E61" s="6"/>
      <c r="F61" s="134" t="e">
        <f>IF(F58&gt;F57, "error", "---")</f>
        <v>#REF!</v>
      </c>
      <c r="G61" s="134" t="e">
        <f>IF(G58&gt;G57, "error", "---")</f>
        <v>#REF!</v>
      </c>
      <c r="H61" s="134" t="e">
        <f>IF(H58&gt;H57, "error", "---")</f>
        <v>#REF!</v>
      </c>
      <c r="I61" s="69"/>
    </row>
    <row r="62" spans="2:9" x14ac:dyDescent="0.25">
      <c r="B62" s="6"/>
      <c r="C62" s="6"/>
      <c r="D62" s="6"/>
      <c r="E62" s="6"/>
      <c r="F62" s="135"/>
      <c r="G62" s="135"/>
      <c r="H62" s="135"/>
      <c r="I62" s="69"/>
    </row>
    <row r="63" spans="2:9" ht="15" x14ac:dyDescent="0.4">
      <c r="B63" s="66" t="s">
        <v>98</v>
      </c>
      <c r="C63" s="6"/>
      <c r="D63" s="6"/>
      <c r="E63" s="6"/>
      <c r="F63" s="130">
        <f>F56+1</f>
        <v>1</v>
      </c>
      <c r="G63" s="130">
        <f>G56+1</f>
        <v>1</v>
      </c>
      <c r="H63" s="130">
        <f>H56+1</f>
        <v>1</v>
      </c>
      <c r="I63" s="77"/>
    </row>
    <row r="64" spans="2:9" x14ac:dyDescent="0.25">
      <c r="B64" s="6" t="s">
        <v>110</v>
      </c>
      <c r="C64" s="6"/>
      <c r="D64" s="6"/>
      <c r="E64" s="6"/>
      <c r="F64" s="131" t="e">
        <f>INDEX(#REF!,MATCH('HO Affordability'!F63,#REF!),MATCH('HO Affordability'!F5,#REF!))</f>
        <v>#REF!</v>
      </c>
      <c r="G64" s="131" t="e">
        <f>INDEX(#REF!,MATCH('HO Affordability'!G63,#REF!),MATCH('HO Affordability'!G5,#REF!))</f>
        <v>#REF!</v>
      </c>
      <c r="H64" s="131" t="e">
        <f>INDEX(#REF!,MATCH('HO Affordability'!H63,#REF!),MATCH('HO Affordability'!H5,#REF!))</f>
        <v>#REF!</v>
      </c>
      <c r="I64" s="53"/>
    </row>
    <row r="65" spans="2:9" x14ac:dyDescent="0.25">
      <c r="B65" s="6" t="s">
        <v>97</v>
      </c>
      <c r="C65" s="6"/>
      <c r="D65" s="82">
        <v>0.33</v>
      </c>
      <c r="E65" s="115">
        <f>E58</f>
        <v>0.3</v>
      </c>
      <c r="F65" s="131">
        <f>F58</f>
        <v>0</v>
      </c>
      <c r="G65" s="132">
        <f>G58</f>
        <v>0</v>
      </c>
      <c r="H65" s="132">
        <f>H58</f>
        <v>0</v>
      </c>
      <c r="I65" s="35"/>
    </row>
    <row r="66" spans="2:9" x14ac:dyDescent="0.25">
      <c r="B66" s="6"/>
      <c r="C66" s="6"/>
      <c r="D66" s="6"/>
      <c r="E66" s="64" t="s">
        <v>126</v>
      </c>
      <c r="F66" s="133" t="e">
        <f>(CONCATENATE(TEXT(F5*F65/F64,"0%"),"  to ",TEXT(F5, "0%")))</f>
        <v>#REF!</v>
      </c>
      <c r="G66" s="133" t="e">
        <f>(CONCATENATE(TEXT(G5*G65/G64,"0%"),"  to ",TEXT(G5, "0%")))</f>
        <v>#REF!</v>
      </c>
      <c r="H66" s="133" t="e">
        <f>(CONCATENATE(TEXT(H5*H65/H64,"0%"),"  to ",TEXT(H5, "0%")))</f>
        <v>#REF!</v>
      </c>
      <c r="I66" s="117"/>
    </row>
    <row r="67" spans="2:9" x14ac:dyDescent="0.25">
      <c r="B67" s="6"/>
      <c r="C67" s="6"/>
      <c r="D67" s="6"/>
      <c r="E67" s="6"/>
      <c r="F67" s="133" t="s">
        <v>127</v>
      </c>
      <c r="G67" s="133" t="s">
        <v>127</v>
      </c>
      <c r="H67" s="133" t="s">
        <v>127</v>
      </c>
      <c r="I67" s="117"/>
    </row>
    <row r="68" spans="2:9" x14ac:dyDescent="0.25">
      <c r="B68" s="6"/>
      <c r="C68" s="6"/>
      <c r="D68" s="6"/>
      <c r="E68" s="6"/>
      <c r="F68" s="69" t="e">
        <f>IF(F65&gt;F64, "error", "---")</f>
        <v>#REF!</v>
      </c>
      <c r="G68" s="69" t="e">
        <f>IF(G65&gt;G64, "error", "---")</f>
        <v>#REF!</v>
      </c>
      <c r="H68" s="69" t="e">
        <f>IF(H65&gt;H64, "error", "---")</f>
        <v>#REF!</v>
      </c>
      <c r="I68" s="69"/>
    </row>
    <row r="69" spans="2:9" x14ac:dyDescent="0.25">
      <c r="B69" s="6"/>
      <c r="C69" s="6"/>
      <c r="D69" s="6"/>
      <c r="E69" s="6"/>
      <c r="F69" s="83"/>
      <c r="G69" s="83"/>
      <c r="H69" s="83"/>
      <c r="I69" s="83"/>
    </row>
    <row r="70" spans="2:9" ht="6" customHeight="1" thickBot="1" x14ac:dyDescent="0.3">
      <c r="B70" s="84"/>
      <c r="C70" s="33"/>
      <c r="D70" s="33"/>
      <c r="E70" s="33"/>
      <c r="F70" s="86"/>
      <c r="G70" s="85"/>
      <c r="H70" s="85"/>
      <c r="I70" s="69"/>
    </row>
    <row r="71" spans="2:9" ht="6" customHeight="1" x14ac:dyDescent="0.25">
      <c r="H71" s="35"/>
      <c r="I71" s="35"/>
    </row>
    <row r="72" spans="2:9" ht="15" x14ac:dyDescent="0.4">
      <c r="B72" s="87" t="s">
        <v>99</v>
      </c>
    </row>
    <row r="73" spans="2:9" x14ac:dyDescent="0.25">
      <c r="B73" s="88" t="s">
        <v>100</v>
      </c>
    </row>
    <row r="74" spans="2:9" x14ac:dyDescent="0.25">
      <c r="B74" s="88" t="s">
        <v>120</v>
      </c>
    </row>
    <row r="75" spans="2:9" x14ac:dyDescent="0.25">
      <c r="B75" s="88" t="s">
        <v>101</v>
      </c>
    </row>
    <row r="76" spans="2:9" x14ac:dyDescent="0.25">
      <c r="B76" s="88" t="s">
        <v>102</v>
      </c>
    </row>
    <row r="78" spans="2:9" x14ac:dyDescent="0.25">
      <c r="B78" s="293" t="s">
        <v>2</v>
      </c>
      <c r="C78" s="287"/>
      <c r="D78" s="287"/>
      <c r="F78" s="294"/>
      <c r="G78" s="287"/>
      <c r="H78" s="287"/>
      <c r="I78" s="129"/>
    </row>
    <row r="79" spans="2:9" x14ac:dyDescent="0.25">
      <c r="B79" s="288"/>
      <c r="C79" s="288"/>
      <c r="D79" s="288"/>
      <c r="F79" s="288"/>
      <c r="G79" s="288"/>
      <c r="H79" s="288"/>
      <c r="I79" s="129"/>
    </row>
    <row r="80" spans="2:9" x14ac:dyDescent="0.25">
      <c r="B80" s="112" t="s">
        <v>138</v>
      </c>
      <c r="F80" s="126" t="s">
        <v>139</v>
      </c>
    </row>
    <row r="81" spans="2:2" x14ac:dyDescent="0.25">
      <c r="B81" s="88"/>
    </row>
    <row r="82" spans="2:2" x14ac:dyDescent="0.25">
      <c r="B82" s="88"/>
    </row>
    <row r="83" spans="2:2" x14ac:dyDescent="0.25">
      <c r="B83" s="88"/>
    </row>
    <row r="84" spans="2:2" x14ac:dyDescent="0.25">
      <c r="B84" s="88"/>
    </row>
    <row r="85" spans="2:2" x14ac:dyDescent="0.25">
      <c r="B85" s="88"/>
    </row>
    <row r="87" spans="2:2" x14ac:dyDescent="0.25">
      <c r="B87" s="88" t="s">
        <v>2</v>
      </c>
    </row>
  </sheetData>
  <customSheetViews>
    <customSheetView guid="{39C0FFE9-C671-44BB-B6D5-EEBEC2C53D52}" scale="60" showPageBreaks="1" fitToPage="1" printArea="1" showRuler="0">
      <selection activeCell="J15" sqref="J15"/>
      <pageMargins left="0.5" right="0.5" top="0.75" bottom="0.5" header="0.25" footer="0.25"/>
      <printOptions horizontalCentered="1"/>
      <pageSetup scale="64" orientation="portrait" r:id="rId1"/>
      <headerFooter alignWithMargins="0">
        <oddHeader>&amp;C&amp;"Arial,Bold"&amp;11Attachment 1
Project Sources and Uses</oddHeader>
        <oddFooter>&amp;C&amp;A&amp;R&amp;8Revised October 2000</oddFooter>
      </headerFooter>
    </customSheetView>
  </customSheetViews>
  <mergeCells count="3">
    <mergeCell ref="C1:E1"/>
    <mergeCell ref="B78:D79"/>
    <mergeCell ref="F78:H79"/>
  </mergeCells>
  <phoneticPr fontId="0" type="noConversion"/>
  <printOptions horizontalCentered="1"/>
  <pageMargins left="0.5" right="0.5" top="0.75" bottom="0.5" header="0.25" footer="0.25"/>
  <pageSetup scale="73" orientation="portrait" r:id="rId2"/>
  <headerFooter alignWithMargins="0">
    <oddHeader>&amp;C&amp;"Arial,Bold"&amp;11Attachment 1
Project Sources and Uses</oddHeader>
    <oddFooter>&amp;C&amp;A&amp;R&amp;8Revised October 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B4" sqref="B4"/>
    </sheetView>
  </sheetViews>
  <sheetFormatPr defaultRowHeight="13.2" x14ac:dyDescent="0.25"/>
  <cols>
    <col min="1" max="1" width="34.33203125" customWidth="1"/>
    <col min="2" max="2" width="14.88671875" bestFit="1" customWidth="1"/>
    <col min="3" max="7" width="12.6640625" customWidth="1"/>
  </cols>
  <sheetData>
    <row r="1" spans="1:12" x14ac:dyDescent="0.25">
      <c r="A1" t="s">
        <v>0</v>
      </c>
      <c r="G1" s="89"/>
    </row>
    <row r="2" spans="1:12" x14ac:dyDescent="0.25">
      <c r="A2" t="s">
        <v>1</v>
      </c>
    </row>
    <row r="3" spans="1:12" s="271" customFormat="1" x14ac:dyDescent="0.25"/>
    <row r="4" spans="1:12" x14ac:dyDescent="0.25">
      <c r="B4" s="158" t="s">
        <v>201</v>
      </c>
    </row>
    <row r="5" spans="1:12" s="244" customFormat="1" ht="39.6" x14ac:dyDescent="0.25">
      <c r="B5" s="249" t="s">
        <v>145</v>
      </c>
      <c r="C5" s="249" t="str">
        <f>Uses!$E$8</f>
        <v>Affordable Units Below 80% AMI</v>
      </c>
      <c r="D5" s="249" t="str">
        <f>Uses!$G$8</f>
        <v>Affordable Units Below 100% of AMI</v>
      </c>
      <c r="E5" s="249" t="str">
        <f>Uses!$I$8</f>
        <v>IDP Required On-Site Units</v>
      </c>
      <c r="F5" s="249" t="str">
        <f>Uses!$K$8</f>
        <v>Market Rate</v>
      </c>
      <c r="G5" s="249" t="str">
        <f>Uses!$M$8</f>
        <v>Commercial</v>
      </c>
      <c r="H5" s="243"/>
      <c r="I5" s="243"/>
      <c r="K5" s="243"/>
      <c r="L5" s="243"/>
    </row>
    <row r="6" spans="1:12" s="244" customFormat="1" x14ac:dyDescent="0.25">
      <c r="A6" s="2" t="s">
        <v>42</v>
      </c>
      <c r="B6" s="194"/>
      <c r="C6" s="21"/>
      <c r="D6" s="21"/>
      <c r="E6" s="21"/>
      <c r="F6" s="21"/>
      <c r="G6" s="226"/>
      <c r="H6" s="119" t="s">
        <v>131</v>
      </c>
      <c r="I6" s="14" t="s">
        <v>130</v>
      </c>
    </row>
    <row r="7" spans="1:12" s="244" customFormat="1" x14ac:dyDescent="0.25">
      <c r="A7" s="2"/>
      <c r="B7" s="194"/>
      <c r="C7" s="21"/>
      <c r="D7" s="21"/>
      <c r="E7" s="21"/>
      <c r="F7" s="21"/>
      <c r="G7" s="226"/>
    </row>
    <row r="8" spans="1:12" s="244" customFormat="1" x14ac:dyDescent="0.25">
      <c r="A8" s="11" t="s">
        <v>165</v>
      </c>
      <c r="B8" s="227">
        <f>SUM(C8:G8)</f>
        <v>0</v>
      </c>
      <c r="C8" s="111"/>
      <c r="D8" s="111"/>
      <c r="E8" s="111"/>
      <c r="F8" s="111"/>
      <c r="G8" s="228"/>
      <c r="H8" s="151">
        <v>0</v>
      </c>
      <c r="I8" s="152">
        <v>0</v>
      </c>
      <c r="K8" s="155"/>
      <c r="L8" s="91"/>
    </row>
    <row r="9" spans="1:12" s="244" customFormat="1" x14ac:dyDescent="0.25">
      <c r="A9" s="11" t="s">
        <v>44</v>
      </c>
      <c r="B9" s="227">
        <f t="shared" ref="B9:B20" si="0">SUM(C9:G9)</f>
        <v>0</v>
      </c>
      <c r="C9" s="111"/>
      <c r="D9" s="111"/>
      <c r="E9" s="111"/>
      <c r="F9" s="111"/>
      <c r="G9" s="228"/>
      <c r="H9" s="92"/>
      <c r="I9" s="96"/>
      <c r="K9" s="146"/>
      <c r="L9" s="91"/>
    </row>
    <row r="10" spans="1:12" s="244" customFormat="1" x14ac:dyDescent="0.25">
      <c r="A10" s="11" t="s">
        <v>200</v>
      </c>
      <c r="B10" s="227">
        <f t="shared" si="0"/>
        <v>0</v>
      </c>
      <c r="C10" s="111"/>
      <c r="D10" s="111"/>
      <c r="E10" s="255" t="s">
        <v>85</v>
      </c>
      <c r="F10" s="111"/>
      <c r="G10" s="228"/>
      <c r="H10" s="92"/>
      <c r="I10" s="96"/>
      <c r="K10" s="146"/>
      <c r="L10" s="91"/>
    </row>
    <row r="11" spans="1:12" s="244" customFormat="1" x14ac:dyDescent="0.25">
      <c r="A11" s="11" t="s">
        <v>162</v>
      </c>
      <c r="B11" s="227">
        <f t="shared" si="0"/>
        <v>0</v>
      </c>
      <c r="C11" s="111"/>
      <c r="D11" s="111"/>
      <c r="E11" s="255" t="s">
        <v>85</v>
      </c>
      <c r="F11" s="111"/>
      <c r="G11" s="228"/>
      <c r="H11" s="92"/>
      <c r="I11" s="96"/>
      <c r="K11" s="146"/>
      <c r="L11" s="91"/>
    </row>
    <row r="12" spans="1:12" s="244" customFormat="1" x14ac:dyDescent="0.25">
      <c r="A12" s="11" t="s">
        <v>168</v>
      </c>
      <c r="B12" s="227">
        <f t="shared" si="0"/>
        <v>0</v>
      </c>
      <c r="C12" s="111"/>
      <c r="D12" s="111"/>
      <c r="E12" s="255" t="s">
        <v>85</v>
      </c>
      <c r="F12" s="111"/>
      <c r="G12" s="228"/>
      <c r="H12" s="92"/>
      <c r="I12" s="96"/>
      <c r="K12" s="146"/>
      <c r="L12" s="91"/>
    </row>
    <row r="13" spans="1:12" s="244" customFormat="1" x14ac:dyDescent="0.25">
      <c r="A13" s="11" t="s">
        <v>169</v>
      </c>
      <c r="B13" s="227">
        <f t="shared" si="0"/>
        <v>0</v>
      </c>
      <c r="C13" s="111"/>
      <c r="D13" s="111"/>
      <c r="E13" s="111"/>
      <c r="F13" s="111"/>
      <c r="G13" s="228"/>
      <c r="H13" s="92"/>
      <c r="I13" s="96"/>
      <c r="K13" s="146"/>
      <c r="L13" s="91"/>
    </row>
    <row r="14" spans="1:12" s="244" customFormat="1" x14ac:dyDescent="0.25">
      <c r="A14" s="11" t="s">
        <v>169</v>
      </c>
      <c r="B14" s="227">
        <f t="shared" si="0"/>
        <v>0</v>
      </c>
      <c r="C14" s="111"/>
      <c r="D14" s="111"/>
      <c r="E14" s="111"/>
      <c r="F14" s="111"/>
      <c r="G14" s="228"/>
      <c r="H14" s="92"/>
      <c r="I14" s="96"/>
      <c r="K14" s="146"/>
      <c r="L14" s="91"/>
    </row>
    <row r="15" spans="1:12" s="244" customFormat="1" x14ac:dyDescent="0.25">
      <c r="A15" s="11" t="s">
        <v>169</v>
      </c>
      <c r="B15" s="227">
        <f t="shared" si="0"/>
        <v>0</v>
      </c>
      <c r="C15" s="111"/>
      <c r="D15" s="111"/>
      <c r="E15" s="111"/>
      <c r="F15" s="111"/>
      <c r="G15" s="228"/>
      <c r="H15" s="92"/>
      <c r="I15" s="96"/>
      <c r="K15" s="146"/>
      <c r="L15" s="91"/>
    </row>
    <row r="16" spans="1:12" s="244" customFormat="1" x14ac:dyDescent="0.25">
      <c r="A16" s="11" t="s">
        <v>169</v>
      </c>
      <c r="B16" s="227">
        <f t="shared" si="0"/>
        <v>0</v>
      </c>
      <c r="C16" s="111"/>
      <c r="D16" s="111"/>
      <c r="E16" s="111"/>
      <c r="F16" s="111"/>
      <c r="G16" s="228"/>
      <c r="H16" s="92"/>
      <c r="I16" s="96"/>
      <c r="K16" s="146"/>
      <c r="L16" s="91"/>
    </row>
    <row r="17" spans="1:12" s="244" customFormat="1" x14ac:dyDescent="0.25">
      <c r="A17" s="11" t="s">
        <v>169</v>
      </c>
      <c r="B17" s="227">
        <f t="shared" si="0"/>
        <v>0</v>
      </c>
      <c r="C17" s="111"/>
      <c r="D17" s="111"/>
      <c r="E17" s="111"/>
      <c r="F17" s="111"/>
      <c r="G17" s="228"/>
      <c r="H17" s="92"/>
      <c r="I17" s="96"/>
      <c r="K17" s="146"/>
      <c r="L17" s="91"/>
    </row>
    <row r="18" spans="1:12" s="244" customFormat="1" x14ac:dyDescent="0.25">
      <c r="A18" s="11" t="s">
        <v>169</v>
      </c>
      <c r="B18" s="227">
        <f t="shared" si="0"/>
        <v>0</v>
      </c>
      <c r="C18" s="183"/>
      <c r="D18" s="183"/>
      <c r="E18" s="183"/>
      <c r="F18" s="183"/>
      <c r="G18" s="229"/>
      <c r="H18" s="92"/>
      <c r="I18" s="96"/>
      <c r="K18" s="146"/>
      <c r="L18" s="91"/>
    </row>
    <row r="19" spans="1:12" s="244" customFormat="1" x14ac:dyDescent="0.25">
      <c r="A19" s="182" t="s">
        <v>156</v>
      </c>
      <c r="B19" s="227">
        <f t="shared" si="0"/>
        <v>0</v>
      </c>
      <c r="C19" s="183"/>
      <c r="D19" s="183"/>
      <c r="E19" s="183"/>
      <c r="F19" s="183"/>
      <c r="G19" s="229"/>
      <c r="H19" s="92"/>
      <c r="I19" s="96"/>
      <c r="K19" s="146"/>
      <c r="L19" s="91"/>
    </row>
    <row r="20" spans="1:12" s="11" customFormat="1" x14ac:dyDescent="0.25">
      <c r="A20" s="180" t="s">
        <v>161</v>
      </c>
      <c r="B20" s="230">
        <f t="shared" si="0"/>
        <v>0</v>
      </c>
      <c r="C20" s="181"/>
      <c r="D20" s="181"/>
      <c r="E20" s="181"/>
      <c r="F20" s="181"/>
      <c r="G20" s="231"/>
      <c r="H20" s="184"/>
      <c r="I20" s="185"/>
      <c r="K20" s="186"/>
    </row>
    <row r="21" spans="1:12" s="244" customFormat="1" x14ac:dyDescent="0.25">
      <c r="A21" s="1" t="s">
        <v>49</v>
      </c>
      <c r="B21" s="232">
        <f t="shared" ref="B21:G21" si="1">SUM(B8:B20)</f>
        <v>0</v>
      </c>
      <c r="C21" s="233">
        <f t="shared" si="1"/>
        <v>0</v>
      </c>
      <c r="D21" s="233">
        <f t="shared" si="1"/>
        <v>0</v>
      </c>
      <c r="E21" s="233">
        <f t="shared" si="1"/>
        <v>0</v>
      </c>
      <c r="F21" s="233">
        <f t="shared" si="1"/>
        <v>0</v>
      </c>
      <c r="G21" s="234">
        <f t="shared" si="1"/>
        <v>0</v>
      </c>
      <c r="K21" s="12">
        <f>SUM(K8:K20)</f>
        <v>0</v>
      </c>
    </row>
    <row r="22" spans="1:12" s="244" customFormat="1" x14ac:dyDescent="0.25">
      <c r="B22" s="235" t="str">
        <f>IF(B21=Uses!C66,"=========","GAP")</f>
        <v>=========</v>
      </c>
      <c r="C22" s="9" t="str">
        <f>IF(C21=Uses!E66,"=========","GAP")</f>
        <v>=========</v>
      </c>
      <c r="D22" s="9" t="str">
        <f>IF(D21=Uses!G66,"=========","GAP")</f>
        <v>=========</v>
      </c>
      <c r="E22" s="9" t="str">
        <f>IF(E21=Uses!I66,"=========","GAP")</f>
        <v>=========</v>
      </c>
      <c r="F22" s="9" t="str">
        <f>IF(F21=Uses!K66,"=========","GAP")</f>
        <v>=========</v>
      </c>
      <c r="G22" s="236" t="str">
        <f>IF(G21=Uses!M66,"=========","GAP")</f>
        <v>=========</v>
      </c>
    </row>
    <row r="23" spans="1:12" s="244" customFormat="1" x14ac:dyDescent="0.25">
      <c r="A23" s="1" t="s">
        <v>50</v>
      </c>
      <c r="B23" s="232">
        <f>+B21-Uses!$C$61</f>
        <v>0</v>
      </c>
      <c r="C23" s="233">
        <f>+C21-Uses!$E$61</f>
        <v>0</v>
      </c>
      <c r="D23" s="233">
        <f>+D21-Uses!$G$61</f>
        <v>0</v>
      </c>
      <c r="E23" s="233">
        <f>+E21-Uses!$I$61</f>
        <v>0</v>
      </c>
      <c r="F23" s="233">
        <f>+F21-Uses!$K$61</f>
        <v>0</v>
      </c>
      <c r="G23" s="234">
        <f>+G21-Uses!$M$61</f>
        <v>0</v>
      </c>
    </row>
    <row r="24" spans="1:12" s="244" customFormat="1" x14ac:dyDescent="0.25">
      <c r="B24" s="197"/>
      <c r="C24" s="6"/>
      <c r="D24" s="6"/>
      <c r="E24" s="6"/>
      <c r="F24" s="6"/>
      <c r="G24" s="198"/>
    </row>
    <row r="25" spans="1:12" x14ac:dyDescent="0.25">
      <c r="A25" s="2" t="s">
        <v>51</v>
      </c>
      <c r="B25" s="197"/>
      <c r="C25" s="6"/>
      <c r="D25" s="6"/>
      <c r="E25" s="6"/>
      <c r="F25" s="6"/>
      <c r="G25" s="198"/>
    </row>
    <row r="26" spans="1:12" x14ac:dyDescent="0.25">
      <c r="A26" s="11" t="s">
        <v>173</v>
      </c>
      <c r="B26" s="227">
        <f t="shared" ref="B26" si="2">SUM(C26:G26)</f>
        <v>0</v>
      </c>
      <c r="C26" s="266">
        <v>0</v>
      </c>
      <c r="D26" s="266">
        <v>0</v>
      </c>
      <c r="E26" s="266">
        <v>0</v>
      </c>
      <c r="F26" s="266">
        <v>0</v>
      </c>
      <c r="G26" s="267">
        <v>0</v>
      </c>
    </row>
    <row r="27" spans="1:12" s="254" customFormat="1" x14ac:dyDescent="0.25">
      <c r="A27" s="11" t="s">
        <v>179</v>
      </c>
      <c r="B27" s="227"/>
      <c r="C27" s="266">
        <v>0</v>
      </c>
      <c r="D27" s="266">
        <v>0</v>
      </c>
      <c r="E27" s="266">
        <v>0</v>
      </c>
      <c r="F27" s="266">
        <v>0</v>
      </c>
      <c r="G27" s="267">
        <v>0</v>
      </c>
    </row>
    <row r="28" spans="1:12" x14ac:dyDescent="0.25">
      <c r="A28" t="s">
        <v>57</v>
      </c>
      <c r="B28" s="197">
        <f>B64</f>
        <v>0</v>
      </c>
      <c r="C28" s="6">
        <v>0</v>
      </c>
      <c r="D28" s="6">
        <v>0</v>
      </c>
      <c r="E28" s="6">
        <f>E64</f>
        <v>0</v>
      </c>
      <c r="F28" s="25">
        <f>F64</f>
        <v>0</v>
      </c>
      <c r="G28" s="198"/>
    </row>
    <row r="29" spans="1:12" x14ac:dyDescent="0.25">
      <c r="B29" s="197"/>
      <c r="C29" s="6"/>
      <c r="D29" s="6"/>
      <c r="E29" s="6"/>
      <c r="F29" s="6"/>
      <c r="G29" s="198"/>
    </row>
    <row r="30" spans="1:12" x14ac:dyDescent="0.25">
      <c r="A30" s="256" t="s">
        <v>180</v>
      </c>
      <c r="B30" s="257">
        <f>SUM(C30:G30)</f>
        <v>0</v>
      </c>
      <c r="C30" s="25">
        <f>SUM(C26:C27)</f>
        <v>0</v>
      </c>
      <c r="D30" s="25">
        <f t="shared" ref="D30:F30" si="3">SUM(D26:D27)</f>
        <v>0</v>
      </c>
      <c r="E30" s="25">
        <f t="shared" si="3"/>
        <v>0</v>
      </c>
      <c r="F30" s="25">
        <f t="shared" si="3"/>
        <v>0</v>
      </c>
      <c r="G30" s="198"/>
    </row>
    <row r="31" spans="1:12" s="244" customFormat="1" x14ac:dyDescent="0.25">
      <c r="A31" s="256" t="s">
        <v>200</v>
      </c>
      <c r="B31" s="258">
        <f t="shared" ref="B31:B41" si="4">SUM(C31:G31)</f>
        <v>0</v>
      </c>
      <c r="C31" s="259"/>
      <c r="D31" s="259"/>
      <c r="E31" s="260" t="s">
        <v>85</v>
      </c>
      <c r="F31" s="259"/>
      <c r="G31" s="228"/>
      <c r="H31" s="92"/>
      <c r="I31" s="96"/>
      <c r="K31" s="146"/>
      <c r="L31" s="91"/>
    </row>
    <row r="32" spans="1:12" s="244" customFormat="1" x14ac:dyDescent="0.25">
      <c r="A32" s="256" t="s">
        <v>162</v>
      </c>
      <c r="B32" s="258">
        <f t="shared" si="4"/>
        <v>0</v>
      </c>
      <c r="C32" s="259"/>
      <c r="D32" s="259"/>
      <c r="E32" s="260" t="s">
        <v>85</v>
      </c>
      <c r="F32" s="259"/>
      <c r="G32" s="228"/>
      <c r="H32" s="92"/>
      <c r="I32" s="96"/>
      <c r="K32" s="146"/>
      <c r="L32" s="91"/>
    </row>
    <row r="33" spans="1:12" s="244" customFormat="1" x14ac:dyDescent="0.25">
      <c r="A33" s="256" t="s">
        <v>168</v>
      </c>
      <c r="B33" s="258">
        <f t="shared" si="4"/>
        <v>0</v>
      </c>
      <c r="C33" s="259"/>
      <c r="D33" s="259"/>
      <c r="E33" s="260" t="s">
        <v>85</v>
      </c>
      <c r="F33" s="259"/>
      <c r="G33" s="228"/>
      <c r="H33" s="92"/>
      <c r="I33" s="96"/>
      <c r="K33" s="146"/>
      <c r="L33" s="91"/>
    </row>
    <row r="34" spans="1:12" s="244" customFormat="1" x14ac:dyDescent="0.25">
      <c r="A34" s="256" t="s">
        <v>169</v>
      </c>
      <c r="B34" s="258">
        <f t="shared" si="4"/>
        <v>0</v>
      </c>
      <c r="C34" s="259"/>
      <c r="D34" s="259"/>
      <c r="E34" s="259"/>
      <c r="F34" s="259"/>
      <c r="G34" s="228"/>
      <c r="H34" s="92"/>
      <c r="I34" s="96"/>
      <c r="K34" s="146"/>
      <c r="L34" s="91"/>
    </row>
    <row r="35" spans="1:12" s="244" customFormat="1" x14ac:dyDescent="0.25">
      <c r="A35" s="256" t="s">
        <v>169</v>
      </c>
      <c r="B35" s="258">
        <f t="shared" si="4"/>
        <v>0</v>
      </c>
      <c r="C35" s="259"/>
      <c r="D35" s="259"/>
      <c r="E35" s="259"/>
      <c r="F35" s="259"/>
      <c r="G35" s="228"/>
      <c r="H35" s="92"/>
      <c r="I35" s="96"/>
      <c r="K35" s="146"/>
      <c r="L35" s="91"/>
    </row>
    <row r="36" spans="1:12" s="244" customFormat="1" x14ac:dyDescent="0.25">
      <c r="A36" s="256" t="s">
        <v>169</v>
      </c>
      <c r="B36" s="258">
        <f t="shared" si="4"/>
        <v>0</v>
      </c>
      <c r="C36" s="259"/>
      <c r="D36" s="259"/>
      <c r="E36" s="259"/>
      <c r="F36" s="259"/>
      <c r="G36" s="228"/>
      <c r="H36" s="92"/>
      <c r="I36" s="96"/>
      <c r="K36" s="146"/>
      <c r="L36" s="91"/>
    </row>
    <row r="37" spans="1:12" s="244" customFormat="1" x14ac:dyDescent="0.25">
      <c r="A37" s="256" t="s">
        <v>169</v>
      </c>
      <c r="B37" s="258">
        <f t="shared" si="4"/>
        <v>0</v>
      </c>
      <c r="C37" s="259"/>
      <c r="D37" s="259"/>
      <c r="E37" s="259"/>
      <c r="F37" s="259"/>
      <c r="G37" s="228"/>
      <c r="H37" s="92"/>
      <c r="I37" s="96"/>
      <c r="K37" s="146"/>
      <c r="L37" s="91"/>
    </row>
    <row r="38" spans="1:12" s="244" customFormat="1" x14ac:dyDescent="0.25">
      <c r="A38" s="256" t="s">
        <v>169</v>
      </c>
      <c r="B38" s="258">
        <f t="shared" si="4"/>
        <v>0</v>
      </c>
      <c r="C38" s="259"/>
      <c r="D38" s="259"/>
      <c r="E38" s="259"/>
      <c r="F38" s="259"/>
      <c r="G38" s="228"/>
      <c r="H38" s="92"/>
      <c r="I38" s="96"/>
      <c r="K38" s="146"/>
      <c r="L38" s="91"/>
    </row>
    <row r="39" spans="1:12" s="244" customFormat="1" x14ac:dyDescent="0.25">
      <c r="A39" s="256" t="s">
        <v>169</v>
      </c>
      <c r="B39" s="258">
        <f t="shared" si="4"/>
        <v>0</v>
      </c>
      <c r="C39" s="261"/>
      <c r="D39" s="261"/>
      <c r="E39" s="261"/>
      <c r="F39" s="261"/>
      <c r="G39" s="229"/>
      <c r="H39" s="92"/>
      <c r="I39" s="96"/>
      <c r="K39" s="146"/>
      <c r="L39" s="91"/>
    </row>
    <row r="40" spans="1:12" s="244" customFormat="1" x14ac:dyDescent="0.25">
      <c r="A40" s="262" t="s">
        <v>176</v>
      </c>
      <c r="B40" s="258">
        <f t="shared" si="4"/>
        <v>0</v>
      </c>
      <c r="C40" s="261"/>
      <c r="D40" s="261"/>
      <c r="E40" s="261"/>
      <c r="F40" s="261"/>
      <c r="G40" s="229"/>
      <c r="H40" s="92"/>
      <c r="I40" s="96"/>
      <c r="K40" s="146"/>
      <c r="L40" s="91"/>
    </row>
    <row r="41" spans="1:12" s="11" customFormat="1" x14ac:dyDescent="0.25">
      <c r="A41" s="263" t="s">
        <v>181</v>
      </c>
      <c r="B41" s="264">
        <f t="shared" si="4"/>
        <v>0</v>
      </c>
      <c r="C41" s="265"/>
      <c r="D41" s="265"/>
      <c r="E41" s="265"/>
      <c r="F41" s="265"/>
      <c r="G41" s="231"/>
      <c r="H41" s="184"/>
      <c r="I41" s="185"/>
      <c r="K41" s="186"/>
    </row>
    <row r="42" spans="1:12" x14ac:dyDescent="0.25">
      <c r="B42" s="197"/>
      <c r="C42" s="6"/>
      <c r="D42" s="6"/>
      <c r="E42" s="6"/>
      <c r="F42" s="6"/>
      <c r="G42" s="198"/>
    </row>
    <row r="43" spans="1:12" x14ac:dyDescent="0.25">
      <c r="A43" t="s">
        <v>50</v>
      </c>
      <c r="B43" s="250">
        <v>0</v>
      </c>
      <c r="C43" s="3" t="s">
        <v>109</v>
      </c>
      <c r="D43" s="3"/>
      <c r="E43" s="3"/>
      <c r="F43" s="3"/>
      <c r="G43" s="239"/>
    </row>
    <row r="45" spans="1:12" x14ac:dyDescent="0.25">
      <c r="A45" t="s">
        <v>59</v>
      </c>
    </row>
    <row r="49" spans="1:6" ht="39.6" x14ac:dyDescent="0.25">
      <c r="B49" s="253" t="s">
        <v>175</v>
      </c>
      <c r="C49" s="252" t="str">
        <f>Uses!$E$8</f>
        <v>Affordable Units Below 80% AMI</v>
      </c>
      <c r="D49" s="249" t="str">
        <f>Uses!$G$8</f>
        <v>Affordable Units Below 100% of AMI</v>
      </c>
      <c r="E49" s="249" t="str">
        <f>Uses!$I$8</f>
        <v>IDP Required On-Site Units</v>
      </c>
      <c r="F49" s="249" t="str">
        <f>Uses!$K$8</f>
        <v>Market Rate</v>
      </c>
    </row>
    <row r="50" spans="1:6" x14ac:dyDescent="0.25">
      <c r="A50" s="11" t="s">
        <v>190</v>
      </c>
      <c r="B50" s="197"/>
      <c r="C50" s="56">
        <v>21</v>
      </c>
      <c r="D50" s="56">
        <v>7</v>
      </c>
      <c r="E50" s="56"/>
      <c r="F50" s="251"/>
    </row>
    <row r="51" spans="1:6" x14ac:dyDescent="0.25">
      <c r="A51" s="11" t="s">
        <v>191</v>
      </c>
      <c r="B51" s="197"/>
      <c r="C51" s="6">
        <v>10</v>
      </c>
      <c r="D51" s="6">
        <v>12</v>
      </c>
      <c r="E51" s="6"/>
      <c r="F51" s="198"/>
    </row>
    <row r="52" spans="1:6" x14ac:dyDescent="0.25">
      <c r="A52" s="11" t="s">
        <v>193</v>
      </c>
      <c r="B52" s="197"/>
      <c r="C52" s="6">
        <v>1</v>
      </c>
      <c r="D52" s="6">
        <v>1</v>
      </c>
      <c r="E52" s="6"/>
      <c r="F52" s="198"/>
    </row>
    <row r="53" spans="1:6" x14ac:dyDescent="0.25">
      <c r="A53" s="11" t="s">
        <v>192</v>
      </c>
      <c r="B53" s="197"/>
      <c r="C53" s="6"/>
      <c r="D53" s="6"/>
      <c r="E53" s="6"/>
      <c r="F53" s="198"/>
    </row>
    <row r="54" spans="1:6" x14ac:dyDescent="0.25">
      <c r="A54" s="11" t="s">
        <v>174</v>
      </c>
      <c r="B54" s="197"/>
      <c r="C54" s="6"/>
      <c r="D54" s="6"/>
      <c r="E54" s="6"/>
      <c r="F54" s="198"/>
    </row>
    <row r="55" spans="1:6" x14ac:dyDescent="0.25">
      <c r="A55" s="11" t="s">
        <v>174</v>
      </c>
      <c r="B55" s="197"/>
      <c r="C55" s="6"/>
      <c r="D55" s="6"/>
      <c r="E55" s="6"/>
      <c r="F55" s="198"/>
    </row>
    <row r="56" spans="1:6" x14ac:dyDescent="0.25">
      <c r="A56" s="11" t="s">
        <v>174</v>
      </c>
      <c r="B56" s="197"/>
      <c r="C56" s="6"/>
      <c r="D56" s="6"/>
      <c r="E56" s="6"/>
      <c r="F56" s="198"/>
    </row>
    <row r="57" spans="1:6" x14ac:dyDescent="0.25">
      <c r="A57" s="11" t="s">
        <v>174</v>
      </c>
      <c r="B57" s="197"/>
      <c r="C57" s="6"/>
      <c r="D57" s="6"/>
      <c r="E57" s="6"/>
      <c r="F57" s="198"/>
    </row>
    <row r="58" spans="1:6" x14ac:dyDescent="0.25">
      <c r="A58" s="11" t="s">
        <v>174</v>
      </c>
      <c r="B58" s="197"/>
      <c r="C58" s="6"/>
      <c r="D58" s="6"/>
      <c r="E58" s="6"/>
      <c r="F58" s="198"/>
    </row>
    <row r="59" spans="1:6" x14ac:dyDescent="0.25">
      <c r="A59" s="11" t="s">
        <v>174</v>
      </c>
      <c r="B59" s="197"/>
      <c r="C59" s="6"/>
      <c r="D59" s="6"/>
      <c r="E59" s="6"/>
      <c r="F59" s="198"/>
    </row>
    <row r="60" spans="1:6" x14ac:dyDescent="0.25">
      <c r="A60" s="11" t="s">
        <v>174</v>
      </c>
      <c r="B60" s="197"/>
      <c r="C60" s="6"/>
      <c r="D60" s="6"/>
      <c r="E60" s="6"/>
      <c r="F60" s="198"/>
    </row>
    <row r="61" spans="1:6" x14ac:dyDescent="0.25">
      <c r="A61" s="11" t="s">
        <v>174</v>
      </c>
      <c r="B61" s="197"/>
      <c r="C61" s="6"/>
      <c r="D61" s="6"/>
      <c r="E61" s="6"/>
      <c r="F61" s="198"/>
    </row>
    <row r="62" spans="1:6" x14ac:dyDescent="0.25">
      <c r="A62" s="11" t="s">
        <v>174</v>
      </c>
      <c r="B62" s="197"/>
      <c r="C62" s="6"/>
      <c r="D62" s="6"/>
      <c r="E62" s="6"/>
      <c r="F62" s="198"/>
    </row>
    <row r="63" spans="1:6" x14ac:dyDescent="0.25">
      <c r="A63" s="11" t="s">
        <v>174</v>
      </c>
      <c r="B63" s="23"/>
      <c r="C63" s="3"/>
      <c r="D63" s="3"/>
      <c r="E63" s="3"/>
      <c r="F63" s="239"/>
    </row>
    <row r="64" spans="1:6" x14ac:dyDescent="0.25">
      <c r="A64" s="1" t="s">
        <v>3</v>
      </c>
      <c r="B64" s="1">
        <f>SUM(B50:B63)</f>
        <v>0</v>
      </c>
      <c r="C64" s="1">
        <f t="shared" ref="C64:F64" si="5">SUM(C50:C63)</f>
        <v>32</v>
      </c>
      <c r="D64" s="1">
        <f t="shared" si="5"/>
        <v>20</v>
      </c>
      <c r="E64" s="1">
        <f t="shared" si="5"/>
        <v>0</v>
      </c>
      <c r="F64" s="1">
        <f t="shared" si="5"/>
        <v>0</v>
      </c>
    </row>
  </sheetData>
  <pageMargins left="0.7" right="0.7" top="0.75" bottom="0.75" header="0.3" footer="0.3"/>
  <pageSetup orientation="portrait" r:id="rId1"/>
  <ignoredErrors>
    <ignoredError sqref="C30:D30 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Uses</vt:lpstr>
      <vt:lpstr>Rental Sources</vt:lpstr>
      <vt:lpstr>HO Sources</vt:lpstr>
      <vt:lpstr>HO Affordability</vt:lpstr>
      <vt:lpstr>Ownership Sources</vt:lpstr>
      <vt:lpstr>'HO Affordability'!Print_Area</vt:lpstr>
      <vt:lpstr>'HO Sources'!Print_Area</vt:lpstr>
      <vt:lpstr>'Rental Sources'!Print_Area</vt:lpstr>
      <vt:lpstr>Uses!Print_Area</vt:lpstr>
      <vt:lpstr>Uses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GrandFamilies House</dc:title>
  <dc:subject>Pro Forma</dc:subject>
  <dc:creator>O'Keefe, Christine (DND)</dc:creator>
  <cp:lastModifiedBy>O'Keefe, Christine (DND)</cp:lastModifiedBy>
  <cp:lastPrinted>2016-11-09T17:17:11Z</cp:lastPrinted>
  <dcterms:created xsi:type="dcterms:W3CDTF">1999-03-09T17:08:55Z</dcterms:created>
  <dcterms:modified xsi:type="dcterms:W3CDTF">2017-10-02T16:15:38Z</dcterms:modified>
</cp:coreProperties>
</file>